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11880" firstSheet="3" activeTab="3"/>
  </bookViews>
  <sheets>
    <sheet name="Einladung" sheetId="1" r:id="rId1"/>
    <sheet name="Anleitung" sheetId="2" r:id="rId2"/>
    <sheet name="Mannschaften" sheetId="3" r:id="rId3"/>
    <sheet name="Spielplan-Sa" sheetId="4" r:id="rId4"/>
    <sheet name="Spielplan-So" sheetId="5" r:id="rId5"/>
    <sheet name="Spielbericht" sheetId="6" r:id="rId6"/>
    <sheet name="Gruppe A" sheetId="7" r:id="rId7"/>
    <sheet name="Gruppe B" sheetId="8" r:id="rId8"/>
    <sheet name="Trostrunde" sheetId="9" r:id="rId9"/>
    <sheet name="Spielereinsatzliste A1" sheetId="10" r:id="rId10"/>
    <sheet name="Spielereinsatzliste A2" sheetId="11" r:id="rId11"/>
    <sheet name="Spielereinsatzliste A3" sheetId="12" r:id="rId12"/>
    <sheet name="Spielereinsatzliste A4" sheetId="13" r:id="rId13"/>
    <sheet name="Spielereinsatzliste B1" sheetId="14" r:id="rId14"/>
    <sheet name="Spielereinsatzliste B2" sheetId="15" r:id="rId15"/>
    <sheet name="Spielereinsatzliste B3" sheetId="16" r:id="rId16"/>
    <sheet name="Siegerliste" sheetId="17" r:id="rId17"/>
    <sheet name="Abrechnung" sheetId="18" r:id="rId18"/>
  </sheets>
  <externalReferences>
    <externalReference r:id="rId21"/>
    <externalReference r:id="rId22"/>
    <externalReference r:id="rId23"/>
  </externalReferences>
  <definedNames>
    <definedName name="_xlnm.Print_Area" localSheetId="1">'Anleitung'!$A$1:$AK$56</definedName>
    <definedName name="_xlnm.Print_Area" localSheetId="6">'Gruppe A'!$A$1:$AP$35</definedName>
    <definedName name="_xlnm.Print_Area" localSheetId="2">'Mannschaften'!$A$1:$AF$158</definedName>
    <definedName name="_xlnm.Print_Area" localSheetId="16">'Siegerliste'!$A$1:$H$30</definedName>
    <definedName name="_xlnm.Print_Area" localSheetId="5">'Spielbericht'!$A$1:$AH$42</definedName>
    <definedName name="_xlnm.Print_Area" localSheetId="3">'Spielplan-Sa'!$B$1:$Y$28</definedName>
    <definedName name="_xlnm.Print_Area" localSheetId="4">'Spielplan-So'!$A$1:$V$34</definedName>
    <definedName name="Mannschaft">'Mannschaften'!$C$10:$AE$10</definedName>
    <definedName name="PlanS">'Spielplan-Sa'!$A$20:$Y$39</definedName>
    <definedName name="Spieler">'Mannschaften'!$C$13:$E$141</definedName>
    <definedName name="Spielplan">'[1]Spielpl'!$A$14:$M$31</definedName>
  </definedNames>
  <calcPr fullCalcOnLoad="1"/>
</workbook>
</file>

<file path=xl/sharedStrings.xml><?xml version="1.0" encoding="utf-8"?>
<sst xmlns="http://schemas.openxmlformats.org/spreadsheetml/2006/main" count="1430" uniqueCount="669">
  <si>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</si>
  <si>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</si>
  <si>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</si>
  <si>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</si>
  <si>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</si>
  <si>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</si>
  <si>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</si>
  <si>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</si>
  <si>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</si>
  <si>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</si>
  <si>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</si>
  <si>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</si>
  <si>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</si>
  <si>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</si>
  <si>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</si>
  <si>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</si>
  <si>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</si>
  <si>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</si>
  <si>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</si>
  <si>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</si>
  <si>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</si>
  <si>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</si>
  <si>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</si>
  <si>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</si>
  <si>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</si>
  <si>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</si>
  <si>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</si>
  <si>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</si>
  <si>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</si>
  <si>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</si>
  <si>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</si>
  <si>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</si>
  <si>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</si>
  <si>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</si>
  <si>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</si>
  <si>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</si>
  <si>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</si>
  <si>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</si>
  <si>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</si>
  <si>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</si>
  <si>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</si>
  <si>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</si>
  <si>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</si>
  <si>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</si>
  <si>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</si>
  <si>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Endstand Gruppe A</t>
  </si>
  <si>
    <t>Endstand Gruppe B</t>
  </si>
  <si>
    <t>Platz 7/8</t>
  </si>
  <si>
    <t>Halbfinale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</si>
  <si>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</si>
  <si>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</si>
  <si>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</si>
  <si>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</si>
  <si>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</si>
  <si>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</si>
  <si>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</si>
  <si>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3. Gruppe A</t>
  </si>
  <si>
    <t>3. Gruppe B</t>
  </si>
  <si>
    <t>1. Gruppe A</t>
  </si>
  <si>
    <t>1. Gruppe B</t>
  </si>
  <si>
    <t>Qualifikation</t>
  </si>
  <si>
    <t>Schiedsrichter</t>
  </si>
  <si>
    <t>Siegerliste</t>
  </si>
  <si>
    <t>Mannschaftsaufstellungen</t>
  </si>
  <si>
    <t xml:space="preserve">Spielplan      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</si>
  <si>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</si>
  <si>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</si>
  <si>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</si>
  <si>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</si>
  <si>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</si>
  <si>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</si>
  <si>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</si>
  <si>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</si>
  <si>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</si>
  <si>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</si>
  <si>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</si>
  <si>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>folgende Meldung eingeblendet: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</si>
  <si>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</si>
  <si>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</si>
  <si>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</si>
  <si>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</si>
  <si>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</si>
  <si>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</si>
  <si>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</si>
  <si>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</si>
  <si>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</si>
  <si>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</si>
  <si>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</si>
  <si>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</si>
  <si>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</si>
  <si>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</si>
  <si>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</si>
  <si>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</si>
  <si>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>Ergebnisse und Schiedsrichter und Linienrichter</t>
  </si>
  <si>
    <t xml:space="preserve">         Stand nach der Vorrunde</t>
  </si>
  <si>
    <t>Ausrichter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</si>
  <si>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</si>
  <si>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</si>
  <si>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</si>
  <si>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</si>
  <si>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</si>
  <si>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</si>
  <si>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</si>
  <si>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Platzierung bei der RM</t>
  </si>
  <si>
    <t>Sind Begriffe/Vereine/Namen</t>
  </si>
  <si>
    <t>zu lang, sind sie zu kürzen</t>
  </si>
  <si>
    <t>oder die Schriftgröße im</t>
  </si>
  <si>
    <t>jeweiligen Tabellenblatt</t>
  </si>
  <si>
    <t>zu verändern</t>
  </si>
  <si>
    <t>Die Zeiten nach einer</t>
  </si>
  <si>
    <t>grünen Zeit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</si>
  <si>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</si>
  <si>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</si>
  <si>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</si>
  <si>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</si>
  <si>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</si>
  <si>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</si>
  <si>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</si>
  <si>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</si>
  <si>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</si>
  <si>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</si>
  <si>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</si>
  <si>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</si>
  <si>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</si>
  <si>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</si>
  <si>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</si>
  <si>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</si>
  <si>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</si>
  <si>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</si>
  <si>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</si>
  <si>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</si>
  <si>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</si>
  <si>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Sind dabei Mannschaften punktgleich und sind Satzdifferenz, Satzquotient und Ball-</t>
  </si>
  <si>
    <t>Anschreiber/</t>
  </si>
  <si>
    <r>
      <t xml:space="preserve">differenz aus allen Spielen der Spielrunde gleich, wird im 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</t>
    </r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</si>
  <si>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</si>
  <si>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</si>
  <si>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</si>
  <si>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</si>
  <si>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Geburtsdatum, Spielerpass-Nr. und Gültigkeit des Passes der Spieler manuell erfasst.</t>
  </si>
  <si>
    <t>Spielerpass-Nr.</t>
  </si>
  <si>
    <t>Klasse:</t>
  </si>
  <si>
    <t>Ball</t>
  </si>
  <si>
    <t>Diff</t>
  </si>
  <si>
    <t>Quo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</si>
  <si>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</si>
  <si>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</si>
  <si>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</si>
  <si>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</si>
  <si>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</si>
  <si>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</si>
  <si>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</si>
  <si>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</si>
  <si>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</si>
  <si>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</si>
  <si>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</si>
  <si>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</si>
  <si>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</si>
  <si>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</si>
  <si>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</si>
  <si>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</si>
  <si>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</si>
  <si>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</si>
  <si>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</si>
  <si>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</si>
  <si>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</si>
  <si>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</si>
  <si>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</si>
  <si>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</si>
  <si>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</si>
  <si>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</si>
  <si>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um die hier </t>
  </si>
  <si>
    <t>im Format</t>
  </si>
  <si>
    <t>werden jeweils</t>
  </si>
  <si>
    <r>
      <t>hh:mm</t>
    </r>
    <r>
      <rPr>
        <sz val="10"/>
        <rFont val="Arial"/>
        <family val="2"/>
      </rPr>
      <t xml:space="preserve"> angegebenen Zeit erhöht</t>
    </r>
  </si>
  <si>
    <t>Ergebnisse und Schiedsrichter und Spielzeitdauer</t>
  </si>
  <si>
    <t xml:space="preserve">Die weiteren Felder in den obigen Tabellenblättern sind gesperrt. </t>
  </si>
  <si>
    <t>Ist eine Änderung nötig, ist zuerst der Blattschutz für das entsprechende Blatt aufzuheben.</t>
  </si>
  <si>
    <t>Reisekostenabrechnung</t>
  </si>
  <si>
    <t>Schiedsrichter und Offizielle</t>
  </si>
  <si>
    <t>lfd.</t>
  </si>
  <si>
    <t>Funktion:</t>
  </si>
  <si>
    <t>D = Delegierter</t>
  </si>
  <si>
    <t>Vorname</t>
  </si>
  <si>
    <t>PLZ</t>
  </si>
  <si>
    <t>Funktion</t>
  </si>
  <si>
    <t>Beginn</t>
  </si>
  <si>
    <t>Ende</t>
  </si>
  <si>
    <t>Kennzi</t>
  </si>
  <si>
    <t>der Reise</t>
  </si>
  <si>
    <t>1 - 3</t>
  </si>
  <si>
    <t>PKW</t>
  </si>
  <si>
    <t>km ges.</t>
  </si>
  <si>
    <t>km</t>
  </si>
  <si>
    <t>Fahrt-</t>
  </si>
  <si>
    <t>kosten</t>
  </si>
  <si>
    <t>Tagegeld</t>
  </si>
  <si>
    <t>21/24,-</t>
  </si>
  <si>
    <t>Gesamt</t>
  </si>
  <si>
    <t>Euro</t>
  </si>
  <si>
    <t>S = Schiedsrichter</t>
  </si>
  <si>
    <t>Nebenk</t>
  </si>
  <si>
    <t>4 - 5</t>
  </si>
  <si>
    <t>Unterschrift
bei Empfang</t>
  </si>
  <si>
    <t>Gesamt/Übertrag:</t>
  </si>
  <si>
    <t>Ich bestätige die Richtigkeit der Angaben und dass die Originalbelege vorgelegen haben.</t>
  </si>
  <si>
    <t>1 = Bahnpreis 2. Kl
2 = PKW 0,20 €/km
3 = Mitfahrer/in 0,02 €/km</t>
  </si>
  <si>
    <t>4 = Straßenbahn/Bus
5 = Taxi (nur mit Beleg u. Begründung)</t>
  </si>
  <si>
    <t>Datum:_____________________</t>
  </si>
  <si>
    <t>Unterschrift Veranstaltungsleiter:________________________________________________</t>
  </si>
  <si>
    <t>Zahl Mitf</t>
  </si>
  <si>
    <t>Strasse</t>
  </si>
  <si>
    <t>Wohnort</t>
  </si>
  <si>
    <t>F 35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</si>
  <si>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</si>
  <si>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</si>
  <si>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</si>
  <si>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</si>
  <si>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</si>
  <si>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</si>
  <si>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</si>
  <si>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</si>
  <si>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</si>
  <si>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</si>
  <si>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</si>
  <si>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</si>
  <si>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</si>
  <si>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 xml:space="preserve">gelb </t>
  </si>
  <si>
    <t xml:space="preserve"> hinterlegt</t>
  </si>
  <si>
    <t xml:space="preserve">rot </t>
  </si>
  <si>
    <t>Mannschaften mit Spielern und Trainern/Betreuern mit Passdaten</t>
  </si>
  <si>
    <t>Durchschnittsalter der Mannschaft</t>
  </si>
  <si>
    <t>Jahre</t>
  </si>
  <si>
    <t xml:space="preserve"> 1.</t>
  </si>
  <si>
    <t>Begrüßung</t>
  </si>
  <si>
    <t xml:space="preserve">Faustball       </t>
  </si>
  <si>
    <t>im Feld durchzuführen</t>
  </si>
  <si>
    <t>Verlierer Spiel 13</t>
  </si>
  <si>
    <t>W U14</t>
  </si>
  <si>
    <t>W U16</t>
  </si>
  <si>
    <t>W U18</t>
  </si>
  <si>
    <t>M U14</t>
  </si>
  <si>
    <t>M U16</t>
  </si>
  <si>
    <t>M U18</t>
  </si>
  <si>
    <t>der Jugend oder Senioren</t>
  </si>
  <si>
    <t>Spieler, die an den Veranstaltungstagen Geburtstag haben, werden</t>
  </si>
  <si>
    <t>Spieler, die zu alt (Jugend) oder zu jung (Senioren) sind, werden</t>
  </si>
  <si>
    <t xml:space="preserve">wird automatisch der Tabellenstand nach der Vorrunde errechnet. </t>
  </si>
  <si>
    <t>um Meisterschaften</t>
  </si>
  <si>
    <t>Mit Eintragung des jeweils letzten Spielergebnisses einer Gruppe</t>
  </si>
  <si>
    <r>
      <t xml:space="preserve">Im Programm </t>
    </r>
    <r>
      <rPr>
        <b/>
        <sz val="12"/>
        <color indexed="10"/>
        <rFont val="Arial"/>
        <family val="2"/>
      </rPr>
      <t>EXCEL</t>
    </r>
    <r>
      <rPr>
        <b/>
        <sz val="12"/>
        <rFont val="Arial"/>
        <family val="2"/>
      </rPr>
      <t xml:space="preserve">  unter </t>
    </r>
    <r>
      <rPr>
        <b/>
        <sz val="12"/>
        <color indexed="12"/>
        <rFont val="Arial"/>
        <family val="2"/>
      </rPr>
      <t>Extras</t>
    </r>
    <r>
      <rPr>
        <b/>
        <sz val="12"/>
        <rFont val="Arial"/>
        <family val="2"/>
      </rPr>
      <t xml:space="preserve">, dann </t>
    </r>
    <r>
      <rPr>
        <b/>
        <sz val="12"/>
        <color indexed="12"/>
        <rFont val="Arial"/>
        <family val="2"/>
      </rPr>
      <t>Makro</t>
    </r>
    <r>
      <rPr>
        <b/>
        <sz val="12"/>
        <rFont val="Arial"/>
        <family val="2"/>
      </rPr>
      <t xml:space="preserve">, dann </t>
    </r>
    <r>
      <rPr>
        <b/>
        <sz val="12"/>
        <color indexed="12"/>
        <rFont val="Arial"/>
        <family val="2"/>
      </rPr>
      <t>Sicherheit</t>
    </r>
  </si>
  <si>
    <r>
      <t xml:space="preserve">die Sicherheitsstufe auf </t>
    </r>
    <r>
      <rPr>
        <b/>
        <sz val="12"/>
        <color indexed="12"/>
        <rFont val="Arial"/>
        <family val="2"/>
      </rPr>
      <t>Niedrig</t>
    </r>
    <r>
      <rPr>
        <b/>
        <sz val="12"/>
        <rFont val="Arial"/>
        <family val="2"/>
      </rPr>
      <t xml:space="preserve"> setzen. Erst dann die Spielplandatei öffnen.</t>
    </r>
  </si>
  <si>
    <t>Dann kann das Fenster für die verschiedenen Klassen aufgemacht werden.</t>
  </si>
  <si>
    <t>Achtung!</t>
  </si>
  <si>
    <t>Nach Schließen der Datei die Sicherheitsstufe vorsichtshalber wieder auf den alten Stand setzen.</t>
  </si>
  <si>
    <t>Regionalgruppe -OST-</t>
  </si>
  <si>
    <t>Tel.: (03303) 213076
FAX: (03303)214450</t>
  </si>
  <si>
    <t>VfK</t>
  </si>
  <si>
    <t>Bademeusel</t>
  </si>
  <si>
    <t>Schwerin</t>
  </si>
  <si>
    <t>Roland Schubert</t>
  </si>
  <si>
    <t>Ulrich Gries</t>
  </si>
  <si>
    <t>Ginsterweg 11</t>
  </si>
  <si>
    <t>Klosterfelder Weg 11</t>
  </si>
  <si>
    <t>25548 Kellinghusen</t>
  </si>
  <si>
    <t>13509 Berlin</t>
  </si>
  <si>
    <t>03149 Forst</t>
  </si>
  <si>
    <t>Tel.:</t>
  </si>
  <si>
    <t>Cornelia Kirsch</t>
  </si>
  <si>
    <t>Erhard Heimicke</t>
  </si>
  <si>
    <t>d.:</t>
  </si>
  <si>
    <t>An :</t>
  </si>
  <si>
    <t xml:space="preserve"> - die beteiligten Vereine :</t>
  </si>
  <si>
    <t>Barby</t>
  </si>
  <si>
    <t>Hollingstedt</t>
  </si>
  <si>
    <t>Wakendorf</t>
  </si>
  <si>
    <t>Gerwin Fröhlich</t>
  </si>
  <si>
    <t>Heino Martens</t>
  </si>
  <si>
    <t>VfL Kellinghusen</t>
  </si>
  <si>
    <t>Tolstoiweg 12</t>
  </si>
  <si>
    <t>Rosmarinstraße 19</t>
  </si>
  <si>
    <t>Lopshop 17</t>
  </si>
  <si>
    <t>18273 Güstrow</t>
  </si>
  <si>
    <t>39249 Barby/Elbe</t>
  </si>
  <si>
    <t>25788 Hollingstedt</t>
  </si>
  <si>
    <t>24558 Wakendorf II</t>
  </si>
  <si>
    <t>ESV Schwerin</t>
  </si>
  <si>
    <t>PSV</t>
  </si>
  <si>
    <t>Gnutz</t>
  </si>
  <si>
    <t>Dr. Wolfgang Rosenow</t>
  </si>
  <si>
    <t>Goldberger Straße 51</t>
  </si>
  <si>
    <t>24622 Gnutz</t>
  </si>
  <si>
    <t>Zeitz</t>
  </si>
  <si>
    <t>Thomas Naumann</t>
  </si>
  <si>
    <t>Dieter Mehrens</t>
  </si>
  <si>
    <t xml:space="preserve"> - und den Ausrichter:</t>
  </si>
  <si>
    <t>06712 Zeitz</t>
  </si>
  <si>
    <t>TiB</t>
  </si>
  <si>
    <t>Schülp</t>
  </si>
  <si>
    <t>Kiefernweg 8</t>
  </si>
  <si>
    <t>12207 Berlin</t>
  </si>
  <si>
    <t>nach Abschluß der Meisterschaftsspiele in Eurem Landesverband habt Ihr Euch für die</t>
  </si>
  <si>
    <t>Teilnahme an den ODM qualifiziert. Zu diesem Erfolg gratuliere ich Euch recht herzlich</t>
  </si>
  <si>
    <t>Wiemersdorf.</t>
  </si>
  <si>
    <t>Massen</t>
  </si>
  <si>
    <t>Lübtheener SV</t>
  </si>
  <si>
    <t>Hartmut Wolschke</t>
  </si>
  <si>
    <t>Uwe Stöhlmacher</t>
  </si>
  <si>
    <t>Norbert Peiser</t>
  </si>
  <si>
    <t>Ich danke dem ausrichtenden Verein mit seinen Mitarbeitern für die Übernahme und die</t>
  </si>
  <si>
    <t>Dorfstraße 1</t>
  </si>
  <si>
    <t>Friedenstraße 77</t>
  </si>
  <si>
    <t>Lindenstr. 9</t>
  </si>
  <si>
    <t>Am Waldrand 7</t>
  </si>
  <si>
    <t>Ausrichtung und wünsche allen Mannschaften eine unfallfreie Anreise und viel Erfolg bei</t>
  </si>
  <si>
    <t>24649 Wiemersdorf</t>
  </si>
  <si>
    <t>03238 Finsterwalde</t>
  </si>
  <si>
    <t>19249 Lübtheen</t>
  </si>
  <si>
    <t>den Spielen.</t>
  </si>
  <si>
    <t>(04192) 69 76</t>
  </si>
  <si>
    <t xml:space="preserve">03531- 701633 </t>
  </si>
  <si>
    <t>03531- 790468</t>
  </si>
  <si>
    <t>Anlagen:</t>
  </si>
  <si>
    <t xml:space="preserve"> - die Bestimmungen für den Spielbetrieb</t>
  </si>
  <si>
    <t xml:space="preserve"> - Organisatorische Einzelheiten</t>
  </si>
  <si>
    <t>Katja Hendel</t>
  </si>
  <si>
    <t xml:space="preserve"> - der Spielplan</t>
  </si>
  <si>
    <t>Sven Dreeke</t>
  </si>
  <si>
    <t>Kellinghusen</t>
  </si>
  <si>
    <t>Jan Kröger</t>
  </si>
  <si>
    <t>Bernd Schneider</t>
  </si>
  <si>
    <t>Anlage 2</t>
  </si>
  <si>
    <t>Wilstedter Str. 19</t>
  </si>
  <si>
    <t>Organisatorische Einzelheiten</t>
  </si>
  <si>
    <t>Termin</t>
  </si>
  <si>
    <t>Samstag,</t>
  </si>
  <si>
    <t>Schönberg</t>
  </si>
  <si>
    <t>MSV Buna-Schkopau</t>
  </si>
  <si>
    <t>Hans-Jürgen Paustian</t>
  </si>
  <si>
    <t>Wolfgang Ehrlich</t>
  </si>
  <si>
    <t>Dorfstr. 21</t>
  </si>
  <si>
    <t>Heide zu Koyne 31</t>
  </si>
  <si>
    <t>Ort</t>
  </si>
  <si>
    <t>24217 Bendfeld</t>
  </si>
  <si>
    <t>06724 Kayna</t>
  </si>
  <si>
    <t>Veranstalter</t>
  </si>
  <si>
    <t>Torsten Schneider</t>
  </si>
  <si>
    <t>Mathildenstr. 19</t>
  </si>
  <si>
    <t>Meldegeld</t>
  </si>
  <si>
    <t xml:space="preserve">Das Meldegeld beträgt  75,- EURO </t>
  </si>
  <si>
    <t>örtl. Spielleitung</t>
  </si>
  <si>
    <t>Quartier</t>
  </si>
  <si>
    <t>Spielbeginn</t>
  </si>
  <si>
    <t>SR</t>
  </si>
  <si>
    <t>Diese Mannschaften stellen die beiden Linienrichter und den Anschreiber !</t>
  </si>
  <si>
    <t>Änderungen nur durch die örtl. Spielleitung möglich !!</t>
  </si>
  <si>
    <t>Anlage 1</t>
  </si>
  <si>
    <t>Bestimmungen für den Spielbetrieb</t>
  </si>
  <si>
    <t>Teilnahme-</t>
  </si>
  <si>
    <t>Teilnahmeberechtigt sind die Landesmeister und Zweitplatzierten der zur</t>
  </si>
  <si>
    <t>berechtigung</t>
  </si>
  <si>
    <t>Außerdem wird gemäß Regionalebenenregelung aufgefüllt.</t>
  </si>
  <si>
    <t>Das Meldegeld beträgt:</t>
  </si>
  <si>
    <t>Veranstaltungsabgabe bis 10 Tage nach der Veranstaltung gemäß</t>
  </si>
  <si>
    <t>neuen TK Beschluß aus 2006.</t>
  </si>
  <si>
    <t>Einspruchs-</t>
  </si>
  <si>
    <t>Die Einspruchsgebühr beträgt :</t>
  </si>
  <si>
    <t>100,00 EUR</t>
  </si>
  <si>
    <t>gebühr</t>
  </si>
  <si>
    <t>Spielbetrieb</t>
  </si>
  <si>
    <t>Für die Durchführung der Spiele gelten die Bestimmungen der:</t>
  </si>
  <si>
    <t>1. Rahmenordnung des DTB vom 01.01.2005</t>
  </si>
  <si>
    <t xml:space="preserve">Platz 1 und 2 sind teilnahmeberechtigt an den Deutschen Meisterschaften am </t>
  </si>
  <si>
    <t>Spielzeit</t>
  </si>
  <si>
    <t>Bandhöhe</t>
  </si>
  <si>
    <t>Presse</t>
  </si>
  <si>
    <t>Der Ausrichter übermittelt die Ergebnisse nach Abschluß der Spiele</t>
  </si>
  <si>
    <t>oder E-Mail: sven.dreeke@faustball-liga.de</t>
  </si>
  <si>
    <t>Meldungen</t>
  </si>
  <si>
    <t>Die beiden Teilnehmer an den Deutschen Meisterschaften sind sofort</t>
  </si>
  <si>
    <t>telefonisch zu melden :</t>
  </si>
  <si>
    <t xml:space="preserve"> - dem Bundesjugendfachwart</t>
  </si>
  <si>
    <t>Günter Lutz</t>
  </si>
  <si>
    <t>Erlenstr. 4</t>
  </si>
  <si>
    <t>67069 Ludwigshafen</t>
  </si>
  <si>
    <t>Tel.: (0621) 663876</t>
  </si>
  <si>
    <t>FAX: (0621) 663366</t>
  </si>
  <si>
    <t>5.</t>
  </si>
  <si>
    <t>6.</t>
  </si>
  <si>
    <t>7.</t>
  </si>
  <si>
    <t>Sonntag,</t>
  </si>
  <si>
    <t>Deutsche Faustball - Liga</t>
  </si>
  <si>
    <t>09:30 Uhr</t>
  </si>
  <si>
    <t>Der Ausrichter zahlt 1/3 des Meldegeldes an die DFBL als</t>
  </si>
  <si>
    <t>Sie ist im Einzelfall gemäß der SpOF zu entrichten.</t>
  </si>
  <si>
    <t>Danach im DM - Modus</t>
  </si>
  <si>
    <t>am Sonntag:</t>
  </si>
  <si>
    <t>Deutsche Faustball - Liga e. V.</t>
  </si>
  <si>
    <t>im Deutschen Turnerbund</t>
  </si>
  <si>
    <t>Veranstalter: Deutsche Faustball - Liga</t>
  </si>
  <si>
    <t>M U 14</t>
  </si>
  <si>
    <t>Trostrunde</t>
  </si>
  <si>
    <t>Endstand Trostrunde</t>
  </si>
  <si>
    <t>1. S-H</t>
  </si>
  <si>
    <t>3. S-H</t>
  </si>
  <si>
    <t>2. S-H</t>
  </si>
  <si>
    <t>1. MVP</t>
  </si>
  <si>
    <t/>
  </si>
  <si>
    <t>Verlierer Spiel 10</t>
  </si>
  <si>
    <t>Sieger Spiel 10</t>
  </si>
  <si>
    <t>Verlierer Spiel 11</t>
  </si>
  <si>
    <t>Sieger Spiel 11</t>
  </si>
  <si>
    <t>Außerdem müssen die Vereine Mitglied in der DFBL sein.</t>
  </si>
  <si>
    <t>Regionalgruppe OST gehörenden Landesverbände und lt. SpOF 4. ff</t>
  </si>
  <si>
    <t>SG Bademeusel</t>
  </si>
  <si>
    <t>Reinhard Herrmann</t>
  </si>
  <si>
    <t>Groß Bademeuseler Str. 39</t>
  </si>
  <si>
    <t>Güstrower SC 09</t>
  </si>
  <si>
    <t>Sven Dreeke, Fliederweg 26, 16556 Hohen Neuendorf</t>
  </si>
  <si>
    <t>Hohen Neuendorf 08.02.2014</t>
  </si>
  <si>
    <t>TSC Berlin</t>
  </si>
  <si>
    <t>Jüterbog</t>
  </si>
  <si>
    <t>Burkhard Mack</t>
  </si>
  <si>
    <t>Klaus-Dieler Scheurel</t>
  </si>
  <si>
    <t>Dirk Lindner</t>
  </si>
  <si>
    <t>Ingmar Possingis</t>
  </si>
  <si>
    <t>Hauptstr. 34 c</t>
  </si>
  <si>
    <t>Zimmererweg 73</t>
  </si>
  <si>
    <t>Werderscher Weg 26</t>
  </si>
  <si>
    <t>Neue Gartenstadt 2</t>
  </si>
  <si>
    <t>Martin Schellschmidt</t>
  </si>
  <si>
    <t>24623 Großenaspe</t>
  </si>
  <si>
    <t>12351 Berlin</t>
  </si>
  <si>
    <t>14913 Jüterbog</t>
  </si>
  <si>
    <t>19061 Schwerin</t>
  </si>
  <si>
    <t>Andreas Thiele</t>
  </si>
  <si>
    <t>030-43 33 774</t>
  </si>
  <si>
    <t>030-60489 76</t>
  </si>
  <si>
    <t>03562-98 34 72</t>
  </si>
  <si>
    <t>03372-43 32 41</t>
  </si>
  <si>
    <t>Fax:</t>
  </si>
  <si>
    <t>030-43 490 490</t>
  </si>
  <si>
    <t>030-3009380</t>
  </si>
  <si>
    <t>Torsten Kirchhoff</t>
  </si>
  <si>
    <t>( 1. Brandenburg )</t>
  </si>
  <si>
    <t xml:space="preserve">VfL Grün-Gold Güstrow </t>
  </si>
  <si>
    <t>Thale</t>
  </si>
  <si>
    <t>( 1. Schleswig - Holstein )</t>
  </si>
  <si>
    <t>Karl-Heinz Lippmann</t>
  </si>
  <si>
    <t>Meike Rink</t>
  </si>
  <si>
    <t>Horst Stammann</t>
  </si>
  <si>
    <t>( 2. Schleswig - Holstein )</t>
  </si>
  <si>
    <t>Heinrich-Heine-Str. 13</t>
  </si>
  <si>
    <t>Naher Str. 61</t>
  </si>
  <si>
    <t>Hans-Christian Jörck</t>
  </si>
  <si>
    <t>( 3. Schleswig - Holstein )</t>
  </si>
  <si>
    <t>06502 Thale</t>
  </si>
  <si>
    <t>039298-7242</t>
  </si>
  <si>
    <t>03947-634 01</t>
  </si>
  <si>
    <t>04836-243</t>
  </si>
  <si>
    <t>04535/ 2109</t>
  </si>
  <si>
    <t>Großenasper SV</t>
  </si>
  <si>
    <t>( 1. Mecklenburg - Vorpommern )</t>
  </si>
  <si>
    <t>Kaulsdorf</t>
  </si>
  <si>
    <t>Großenaspe</t>
  </si>
  <si>
    <t>Michael Kowalski</t>
  </si>
  <si>
    <t>Sabine Puschert</t>
  </si>
  <si>
    <t>Reimer Rennkamp</t>
  </si>
  <si>
    <t>Finowstraße 10</t>
  </si>
  <si>
    <t>Otto-Braun Str. 82</t>
  </si>
  <si>
    <t>Itzehoer Straße 53</t>
  </si>
  <si>
    <t>10247 Berlin</t>
  </si>
  <si>
    <t>10249 Berlin</t>
  </si>
  <si>
    <t>030-291 68 85</t>
  </si>
  <si>
    <t>03843-84 26 09</t>
  </si>
  <si>
    <t>Claus Mohr</t>
  </si>
  <si>
    <t>(0385) 760 17 36</t>
  </si>
  <si>
    <t>Naher Straße 96</t>
  </si>
  <si>
    <t>K.-Niederkirchner-Str. 54</t>
  </si>
  <si>
    <t>Itzehoer Straße 27</t>
  </si>
  <si>
    <t>Kronshagen</t>
  </si>
  <si>
    <t>Luckenwalde</t>
  </si>
  <si>
    <t>SG Chemie Zeitz</t>
  </si>
  <si>
    <t>Uwe Rossow</t>
  </si>
  <si>
    <t>Heiko Höpken</t>
  </si>
  <si>
    <t>(03441) 22 40 85</t>
  </si>
  <si>
    <t>(04392) 6727</t>
  </si>
  <si>
    <t>Kopperpahler Allee 61</t>
  </si>
  <si>
    <t>Ortlerweg 26a</t>
  </si>
  <si>
    <t>Rudolf-Breitscheid-Str.16</t>
  </si>
  <si>
    <t>Heinkenborstler Weg 26</t>
  </si>
  <si>
    <t>Liebe Faustballspieler,</t>
  </si>
  <si>
    <t>24119 Kronshagen</t>
  </si>
  <si>
    <t>14943 Luckenwalde</t>
  </si>
  <si>
    <t>0431 580551</t>
  </si>
  <si>
    <t>030-84 70 90 51</t>
  </si>
  <si>
    <t>03371-636202</t>
  </si>
  <si>
    <t>04392 1012</t>
  </si>
  <si>
    <t>03371-621172</t>
  </si>
  <si>
    <t>TSV Benndorf</t>
  </si>
  <si>
    <t>Klaus Podwitz</t>
  </si>
  <si>
    <t>Hauptstr. 33</t>
  </si>
  <si>
    <t>19065 Godern</t>
  </si>
  <si>
    <t>06308 Benndorf</t>
  </si>
  <si>
    <t>Tel.: 038855 50254</t>
  </si>
  <si>
    <t>Tel.: 034772 30222</t>
  </si>
  <si>
    <t>Bredstedter TSV</t>
  </si>
  <si>
    <t>Fehrbellin</t>
  </si>
  <si>
    <t>Sören Nissen</t>
  </si>
  <si>
    <t>Thomas Greßner</t>
  </si>
  <si>
    <t>Elisabeth Smoller</t>
  </si>
  <si>
    <t>Birgit Rieve</t>
  </si>
  <si>
    <t>Brundtlandweg 20</t>
  </si>
  <si>
    <t>Georginenweg 30</t>
  </si>
  <si>
    <t>Rüdigerstr. 17</t>
  </si>
  <si>
    <t>Dechtower Weg 30 a</t>
  </si>
  <si>
    <t>Wiesenweg 6</t>
  </si>
  <si>
    <t>25821 Bredstedt</t>
  </si>
  <si>
    <t>12623 Berlin</t>
  </si>
  <si>
    <t>16833 Fehrbellin</t>
  </si>
  <si>
    <t>Berliner TS</t>
  </si>
  <si>
    <t>Walter Schmidt</t>
  </si>
  <si>
    <t>Jasmin Müller</t>
  </si>
  <si>
    <t>Hummelstr. 32</t>
  </si>
  <si>
    <t>Krowelstr. 1</t>
  </si>
  <si>
    <t>13581 Berlin</t>
  </si>
  <si>
    <t>SV Fortuna Kayna</t>
  </si>
  <si>
    <t>Pinneberg</t>
  </si>
  <si>
    <t>Frank Knobloch</t>
  </si>
  <si>
    <t>Marcel Wormbs</t>
  </si>
  <si>
    <t>Schwetschkestr. 16</t>
  </si>
  <si>
    <t>Am Bahndamm 162</t>
  </si>
  <si>
    <t>06110 Halle</t>
  </si>
  <si>
    <t>25469 Halstenbek</t>
  </si>
  <si>
    <t>SV Lok Rangsdorf</t>
  </si>
  <si>
    <t>TSV LoLa</t>
  </si>
  <si>
    <t>Lutz Rüdrich</t>
  </si>
  <si>
    <t>Maren Schneider</t>
  </si>
  <si>
    <t>Petra Himmelhan</t>
  </si>
  <si>
    <t>Falkenflur 2</t>
  </si>
  <si>
    <t>Eichenring 16</t>
  </si>
  <si>
    <t>15834 Rangsdorf</t>
  </si>
  <si>
    <t>25551 Hohenlockstedt</t>
  </si>
  <si>
    <t>033708/ 22421</t>
  </si>
  <si>
    <t xml:space="preserve">evtl. über Ausrichter </t>
  </si>
  <si>
    <t>Samstag , 22.02.2014</t>
  </si>
  <si>
    <t>Sonntag, 23.02.2014</t>
  </si>
  <si>
    <t>AK 14 männlich</t>
  </si>
  <si>
    <t>75,- EURO.</t>
  </si>
  <si>
    <t xml:space="preserve"> Es ist vor Beginn </t>
  </si>
  <si>
    <t>der Spiele bei der örtlichen Spielleitung zu entrichten.</t>
  </si>
  <si>
    <t>gemäß DFBL.</t>
  </si>
  <si>
    <t>2. SpOF in der jeweils aktuellen gültigen Fassung</t>
  </si>
  <si>
    <t>3. Spielregeln des IFA in der jeweils gültigen Fassung</t>
  </si>
  <si>
    <t>4. Beschluß vom TK: Einwechselung bei jeglicher Spielunterbrechung möglich.</t>
  </si>
  <si>
    <t>Es wird in 2 Vorrundengruppen gespielt mit 2 Sätzen</t>
  </si>
  <si>
    <t>In der Vorrunde 2 Sätze danach 2 Gewinnsätze bis 11 gespielt.</t>
  </si>
  <si>
    <t>1,80 m</t>
  </si>
  <si>
    <t>Sonderfälle lt. SpOF 4.6.2.4 ff siehe unter Punkt V der Wettkampfbestimmungen.</t>
  </si>
  <si>
    <t>Berliner Turnerschaft</t>
  </si>
  <si>
    <t>Norbert Nest</t>
  </si>
  <si>
    <t>Themsestr. 96</t>
  </si>
  <si>
    <t>13349 Berlin</t>
  </si>
  <si>
    <t>Sven Dreeke oder Vertreter</t>
  </si>
  <si>
    <t xml:space="preserve">Halle in der Swinemünder Str. </t>
  </si>
  <si>
    <t>Berlin</t>
  </si>
  <si>
    <t>1. Brdb.</t>
  </si>
  <si>
    <t>2. Berlin</t>
  </si>
  <si>
    <t>1. Berlin</t>
  </si>
  <si>
    <t>SG Stern Kaulsdorf</t>
  </si>
  <si>
    <t>Ostdeutsche Meisterschaft der männl. Jugend 14 Halle 13/14</t>
  </si>
  <si>
    <t>( Berlin )</t>
  </si>
  <si>
    <t>Ostdeutsche Meisterschaft im Hallenfaustball 2013/14 der männl. Jugend 14</t>
  </si>
  <si>
    <t>und lade Euch zu den ODM am 22. + 23. Februar 2014 nach Berlin ein.</t>
  </si>
  <si>
    <t>13:00 Uhr</t>
  </si>
  <si>
    <t>Auswechselungen sind jederzeit möglich!!!</t>
  </si>
  <si>
    <t>22. und 23. März 2014 beim MTSV Selsingen.</t>
  </si>
  <si>
    <t>Maack, Eike</t>
  </si>
  <si>
    <t>von Seelen, Felix</t>
  </si>
  <si>
    <t>Lingelbach, Christian</t>
  </si>
  <si>
    <t>Schuldt, Ole</t>
  </si>
  <si>
    <t>Omar, Laichaoui</t>
  </si>
  <si>
    <t>Maack, Henrik</t>
  </si>
  <si>
    <t>Ventz, Tino</t>
  </si>
  <si>
    <t>Maack, Burghardt</t>
  </si>
  <si>
    <t>SH- 13823</t>
  </si>
  <si>
    <t>SH- 13824</t>
  </si>
  <si>
    <t>SH- 14080</t>
  </si>
  <si>
    <t>SH- 13684</t>
  </si>
  <si>
    <t>SH- 13900</t>
  </si>
  <si>
    <t>SH- 14138</t>
  </si>
  <si>
    <t>SH- 13822</t>
  </si>
  <si>
    <t xml:space="preserve"> 12 - 16</t>
  </si>
  <si>
    <t xml:space="preserve"> 10 - 14</t>
  </si>
  <si>
    <t xml:space="preserve"> 09 - 13</t>
  </si>
  <si>
    <t xml:space="preserve"> 11 - 15</t>
  </si>
  <si>
    <t>Schlegel, Hendrik</t>
  </si>
  <si>
    <t>Linus, Richter</t>
  </si>
  <si>
    <t>Aßmann, Tim</t>
  </si>
  <si>
    <t>Wilksen, Lean</t>
  </si>
  <si>
    <t>Wilksen, Tobias</t>
  </si>
  <si>
    <t>Kahle, Enrico</t>
  </si>
  <si>
    <t xml:space="preserve"> 13 - 17</t>
  </si>
  <si>
    <t xml:space="preserve"> 14 - 18</t>
  </si>
  <si>
    <t>Richter, Jens</t>
  </si>
  <si>
    <t>Wilksen, Peter</t>
  </si>
  <si>
    <t>Butzke, Kjell</t>
  </si>
  <si>
    <t>Stumpenhagen, Robin</t>
  </si>
  <si>
    <t>Gabriel, René</t>
  </si>
  <si>
    <t>Himmelhan, Hannes</t>
  </si>
  <si>
    <t>Hullmann, Till</t>
  </si>
  <si>
    <t>Steinleitner, Marvin</t>
  </si>
  <si>
    <t>Dombert, Enrico</t>
  </si>
  <si>
    <t>Himmelhan, Marcus</t>
  </si>
  <si>
    <t>Reimers, Bernd</t>
  </si>
  <si>
    <t>Brockmann, Hannes</t>
  </si>
  <si>
    <t>Kadgien, Leif</t>
  </si>
  <si>
    <t>Magens-Greve, Mats</t>
  </si>
  <si>
    <t>Ralfs, Nico</t>
  </si>
  <si>
    <t>Durchdewald, Anton</t>
  </si>
  <si>
    <t>Pietsch, Till-Julius</t>
  </si>
  <si>
    <t>Böhm, Max</t>
  </si>
  <si>
    <t>Kutz, André</t>
  </si>
  <si>
    <t>Päßler, Randy-René</t>
  </si>
  <si>
    <t>Schaab, Oliver</t>
  </si>
  <si>
    <t>Mohns, Derian</t>
  </si>
  <si>
    <t xml:space="preserve"> 22 / 09 / 80 / 2118</t>
  </si>
  <si>
    <t>Schulz, Till</t>
  </si>
  <si>
    <t xml:space="preserve"> 22 / 09 / 80 / 2120</t>
  </si>
  <si>
    <t>Moritz, Leon</t>
  </si>
  <si>
    <t xml:space="preserve"> 22 / 09 / 80 / 2123</t>
  </si>
  <si>
    <t>Dolgow, Danny</t>
  </si>
  <si>
    <t xml:space="preserve"> 22 / 09 / 80 / 2121</t>
  </si>
  <si>
    <t>Dittberner, Jason</t>
  </si>
  <si>
    <t xml:space="preserve"> 22 / 09 / 80 / 2130</t>
  </si>
  <si>
    <t>Kopplow, Justin</t>
  </si>
  <si>
    <t xml:space="preserve"> 22 / 09 / 80 / 2126</t>
  </si>
  <si>
    <t>Dichau, André</t>
  </si>
  <si>
    <t>22 7 09 / 80 / 2143</t>
  </si>
  <si>
    <t>SH - 14142</t>
  </si>
  <si>
    <t>SH - 14005</t>
  </si>
  <si>
    <t>SH - 14116</t>
  </si>
  <si>
    <t>SH - 14004</t>
  </si>
  <si>
    <t>SH - 14189</t>
  </si>
  <si>
    <t>SH - 14318</t>
  </si>
  <si>
    <t>SH - 14353</t>
  </si>
  <si>
    <t>10 - 14</t>
  </si>
  <si>
    <t>Tschitschke, Maik</t>
  </si>
  <si>
    <t>Richter, Willi</t>
  </si>
  <si>
    <t>Pfänder, Lukas</t>
  </si>
  <si>
    <t>Peppernick, Paul</t>
  </si>
  <si>
    <t>Böttcher, Johann-Georg</t>
  </si>
  <si>
    <t>Müller, Simon</t>
  </si>
  <si>
    <t>Mielke, Marc</t>
  </si>
  <si>
    <t>Krüger, Simone</t>
  </si>
  <si>
    <t>Peppernick, Kerstin</t>
  </si>
  <si>
    <t>MTB 1764</t>
  </si>
  <si>
    <t>MTB 1767</t>
  </si>
  <si>
    <t>MTB 1751</t>
  </si>
  <si>
    <t>MTB 1752</t>
  </si>
  <si>
    <t>MTB 1768</t>
  </si>
  <si>
    <t>MTB 1772</t>
  </si>
  <si>
    <t>MTB 1746</t>
  </si>
  <si>
    <t>Markus Nest</t>
  </si>
  <si>
    <t>Verlierer Spiel 12</t>
  </si>
  <si>
    <t>Verlierer Spiel 14</t>
  </si>
  <si>
    <t>Sieger Spiel 12</t>
  </si>
  <si>
    <t>Sieger Spiel 14</t>
  </si>
  <si>
    <t>Volkmar Paulus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</si>
</sst>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dd/\ mmmm\ yyyy"/>
  </numFmts>
  <fonts count="9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0"/>
    </font>
    <font>
      <b/>
      <sz val="20"/>
      <name val="Times New Roman"/>
      <family val="1"/>
    </font>
    <font>
      <b/>
      <sz val="16"/>
      <name val="FuturaA Bk BT"/>
      <family val="2"/>
    </font>
    <font>
      <sz val="14"/>
      <name val="FuturaA Bk BT"/>
      <family val="0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0"/>
    </font>
    <font>
      <sz val="10"/>
      <name val="FuturaA Bk BT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u val="single"/>
      <sz val="8"/>
      <name val="Arial"/>
      <family val="0"/>
    </font>
    <font>
      <u val="single"/>
      <sz val="10"/>
      <name val="MS Sans Serif"/>
      <family val="0"/>
    </font>
    <font>
      <b/>
      <sz val="12"/>
      <name val="Courier New"/>
      <family val="0"/>
    </font>
    <font>
      <sz val="12"/>
      <color indexed="10"/>
      <name val="Arial"/>
      <family val="0"/>
    </font>
    <font>
      <i/>
      <u val="single"/>
      <sz val="12"/>
      <name val="Arial"/>
      <family val="2"/>
    </font>
    <font>
      <b/>
      <u val="single"/>
      <sz val="13"/>
      <name val="Arial"/>
      <family val="2"/>
    </font>
    <font>
      <b/>
      <u val="single"/>
      <sz val="14"/>
      <name val="Times New Roman"/>
      <family val="0"/>
    </font>
    <font>
      <sz val="16"/>
      <name val="MS Sans Serif"/>
      <family val="0"/>
    </font>
    <font>
      <b/>
      <sz val="12"/>
      <color indexed="8"/>
      <name val="Arial"/>
      <family val="2"/>
    </font>
    <font>
      <sz val="6.5"/>
      <name val="MS Sans Serif"/>
      <family val="0"/>
    </font>
    <font>
      <b/>
      <u val="single"/>
      <sz val="12"/>
      <name val="Arial"/>
      <family val="0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2"/>
      <color indexed="11"/>
      <name val="Arial"/>
      <family val="2"/>
    </font>
    <font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</fills>
  <borders count="1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4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1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4" fillId="35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37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7" borderId="0" xfId="0" applyFont="1" applyFill="1" applyAlignment="1">
      <alignment/>
    </xf>
    <xf numFmtId="0" fontId="25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8" fontId="2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4" fillId="38" borderId="0" xfId="0" applyFont="1" applyFill="1" applyAlignment="1">
      <alignment/>
    </xf>
    <xf numFmtId="0" fontId="38" fillId="38" borderId="0" xfId="0" applyFont="1" applyFill="1" applyAlignment="1">
      <alignment/>
    </xf>
    <xf numFmtId="0" fontId="4" fillId="0" borderId="0" xfId="0" applyFont="1" applyAlignment="1">
      <alignment horizontal="right"/>
    </xf>
    <xf numFmtId="1" fontId="1" fillId="36" borderId="0" xfId="0" applyNumberFormat="1" applyFont="1" applyFill="1" applyBorder="1" applyAlignment="1">
      <alignment horizontal="center"/>
    </xf>
    <xf numFmtId="1" fontId="0" fillId="36" borderId="0" xfId="0" applyNumberFormat="1" applyFont="1" applyFill="1" applyAlignment="1">
      <alignment horizontal="center"/>
    </xf>
    <xf numFmtId="0" fontId="14" fillId="35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36" borderId="0" xfId="0" applyNumberFormat="1" applyFont="1" applyFill="1" applyAlignment="1">
      <alignment horizontal="center"/>
    </xf>
    <xf numFmtId="0" fontId="29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7" fillId="36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14" fontId="4" fillId="36" borderId="0" xfId="0" applyNumberFormat="1" applyFont="1" applyFill="1" applyAlignment="1">
      <alignment horizontal="left" vertical="center"/>
    </xf>
    <xf numFmtId="0" fontId="28" fillId="36" borderId="14" xfId="0" applyFont="1" applyFill="1" applyBorder="1" applyAlignment="1">
      <alignment horizontal="center"/>
    </xf>
    <xf numFmtId="0" fontId="28" fillId="36" borderId="15" xfId="0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4" fillId="37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5" fillId="34" borderId="34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5" fillId="34" borderId="36" xfId="0" applyFont="1" applyFill="1" applyBorder="1" applyAlignment="1" applyProtection="1">
      <alignment horizontal="center"/>
      <protection locked="0"/>
    </xf>
    <xf numFmtId="0" fontId="5" fillId="34" borderId="37" xfId="0" applyFont="1" applyFill="1" applyBorder="1" applyAlignment="1" applyProtection="1">
      <alignment horizontal="center"/>
      <protection locked="0"/>
    </xf>
    <xf numFmtId="0" fontId="5" fillId="34" borderId="38" xfId="0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 locked="0"/>
    </xf>
    <xf numFmtId="0" fontId="5" fillId="34" borderId="38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33" fillId="34" borderId="38" xfId="0" applyFont="1" applyFill="1" applyBorder="1" applyAlignment="1" applyProtection="1">
      <alignment horizontal="left" vertical="center"/>
      <protection locked="0"/>
    </xf>
    <xf numFmtId="0" fontId="33" fillId="34" borderId="38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41" xfId="0" applyFont="1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0" fontId="33" fillId="34" borderId="43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/>
      <protection locked="0"/>
    </xf>
    <xf numFmtId="0" fontId="1" fillId="34" borderId="41" xfId="0" applyFont="1" applyFill="1" applyBorder="1" applyAlignment="1" applyProtection="1">
      <alignment/>
      <protection locked="0"/>
    </xf>
    <xf numFmtId="0" fontId="1" fillId="34" borderId="42" xfId="0" applyFont="1" applyFill="1" applyBorder="1" applyAlignment="1" applyProtection="1">
      <alignment/>
      <protection locked="0"/>
    </xf>
    <xf numFmtId="0" fontId="1" fillId="34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" fillId="34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/>
      <protection locked="0"/>
    </xf>
    <xf numFmtId="0" fontId="1" fillId="34" borderId="50" xfId="0" applyNumberFormat="1" applyFont="1" applyFill="1" applyBorder="1" applyAlignment="1" applyProtection="1">
      <alignment vertical="center"/>
      <protection locked="0"/>
    </xf>
    <xf numFmtId="0" fontId="0" fillId="34" borderId="51" xfId="0" applyFill="1" applyBorder="1" applyAlignment="1" applyProtection="1">
      <alignment horizontal="center" vertical="center"/>
      <protection locked="0"/>
    </xf>
    <xf numFmtId="0" fontId="1" fillId="34" borderId="52" xfId="0" applyFont="1" applyFill="1" applyBorder="1" applyAlignment="1" applyProtection="1">
      <alignment horizontal="centerContinuous" vertical="center"/>
      <protection locked="0"/>
    </xf>
    <xf numFmtId="0" fontId="0" fillId="36" borderId="52" xfId="0" applyFont="1" applyFill="1" applyBorder="1" applyAlignment="1" applyProtection="1">
      <alignment horizontal="centerContinuous" vertical="center"/>
      <protection locked="0"/>
    </xf>
    <xf numFmtId="0" fontId="1" fillId="34" borderId="52" xfId="0" applyFont="1" applyFill="1" applyBorder="1" applyAlignment="1" applyProtection="1">
      <alignment horizontal="left" vertical="center"/>
      <protection locked="0"/>
    </xf>
    <xf numFmtId="0" fontId="0" fillId="34" borderId="53" xfId="0" applyFill="1" applyBorder="1" applyAlignment="1" applyProtection="1">
      <alignment horizontal="centerContinuous" vertical="center"/>
      <protection locked="0"/>
    </xf>
    <xf numFmtId="0" fontId="0" fillId="34" borderId="52" xfId="0" applyFill="1" applyBorder="1" applyAlignment="1" applyProtection="1">
      <alignment horizontal="centerContinuous" vertical="center"/>
      <protection locked="0"/>
    </xf>
    <xf numFmtId="0" fontId="1" fillId="34" borderId="54" xfId="0" applyFont="1" applyFill="1" applyBorder="1" applyAlignment="1" applyProtection="1">
      <alignment horizontal="left" vertical="center"/>
      <protection locked="0"/>
    </xf>
    <xf numFmtId="0" fontId="0" fillId="34" borderId="53" xfId="0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9" fillId="34" borderId="36" xfId="0" applyFont="1" applyFill="1" applyBorder="1" applyAlignment="1" applyProtection="1">
      <alignment horizontal="center"/>
      <protection locked="0"/>
    </xf>
    <xf numFmtId="0" fontId="9" fillId="34" borderId="34" xfId="0" applyFont="1" applyFill="1" applyBorder="1" applyAlignment="1" applyProtection="1">
      <alignment horizontal="center"/>
      <protection locked="0"/>
    </xf>
    <xf numFmtId="0" fontId="9" fillId="34" borderId="56" xfId="0" applyFont="1" applyFill="1" applyBorder="1" applyAlignment="1" applyProtection="1">
      <alignment horizontal="center"/>
      <protection locked="0"/>
    </xf>
    <xf numFmtId="0" fontId="9" fillId="34" borderId="57" xfId="0" applyFont="1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/>
      <protection locked="0"/>
    </xf>
    <xf numFmtId="0" fontId="9" fillId="34" borderId="59" xfId="0" applyFont="1" applyFill="1" applyBorder="1" applyAlignment="1" applyProtection="1">
      <alignment horizontal="center"/>
      <protection locked="0"/>
    </xf>
    <xf numFmtId="0" fontId="9" fillId="34" borderId="60" xfId="0" applyFont="1" applyFill="1" applyBorder="1" applyAlignment="1" applyProtection="1">
      <alignment horizontal="center"/>
      <protection locked="0"/>
    </xf>
    <xf numFmtId="0" fontId="9" fillId="34" borderId="61" xfId="0" applyFont="1" applyFill="1" applyBorder="1" applyAlignment="1" applyProtection="1">
      <alignment horizontal="center"/>
      <protection locked="0"/>
    </xf>
    <xf numFmtId="0" fontId="9" fillId="34" borderId="62" xfId="0" applyFont="1" applyFill="1" applyBorder="1" applyAlignment="1" applyProtection="1">
      <alignment horizontal="center"/>
      <protection locked="0"/>
    </xf>
    <xf numFmtId="0" fontId="9" fillId="34" borderId="41" xfId="0" applyFont="1" applyFill="1" applyBorder="1" applyAlignment="1" applyProtection="1">
      <alignment horizontal="center"/>
      <protection locked="0"/>
    </xf>
    <xf numFmtId="0" fontId="9" fillId="34" borderId="43" xfId="0" applyFont="1" applyFill="1" applyBorder="1" applyAlignment="1" applyProtection="1">
      <alignment horizontal="center"/>
      <protection locked="0"/>
    </xf>
    <xf numFmtId="0" fontId="9" fillId="34" borderId="63" xfId="0" applyFont="1" applyFill="1" applyBorder="1" applyAlignment="1" applyProtection="1">
      <alignment horizontal="center"/>
      <protection locked="0"/>
    </xf>
    <xf numFmtId="0" fontId="9" fillId="34" borderId="64" xfId="0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34" borderId="68" xfId="0" applyFill="1" applyBorder="1" applyAlignment="1" applyProtection="1">
      <alignment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2" fillId="0" borderId="6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center"/>
      <protection/>
    </xf>
    <xf numFmtId="0" fontId="22" fillId="0" borderId="71" xfId="0" applyFont="1" applyFill="1" applyBorder="1" applyAlignment="1" applyProtection="1">
      <alignment horizontal="left"/>
      <protection/>
    </xf>
    <xf numFmtId="0" fontId="22" fillId="0" borderId="72" xfId="0" applyFont="1" applyFill="1" applyBorder="1" applyAlignment="1" applyProtection="1">
      <alignment horizontal="left"/>
      <protection/>
    </xf>
    <xf numFmtId="0" fontId="22" fillId="0" borderId="73" xfId="0" applyFont="1" applyFill="1" applyBorder="1" applyAlignment="1" applyProtection="1">
      <alignment horizontal="center"/>
      <protection/>
    </xf>
    <xf numFmtId="0" fontId="22" fillId="0" borderId="74" xfId="0" applyFont="1" applyFill="1" applyBorder="1" applyAlignment="1" applyProtection="1">
      <alignment horizontal="center"/>
      <protection/>
    </xf>
    <xf numFmtId="0" fontId="22" fillId="0" borderId="75" xfId="0" applyFont="1" applyFill="1" applyBorder="1" applyAlignment="1" applyProtection="1">
      <alignment horizontal="center"/>
      <protection/>
    </xf>
    <xf numFmtId="0" fontId="22" fillId="0" borderId="76" xfId="0" applyFont="1" applyFill="1" applyBorder="1" applyAlignment="1" applyProtection="1">
      <alignment horizontal="center"/>
      <protection/>
    </xf>
    <xf numFmtId="0" fontId="22" fillId="0" borderId="77" xfId="0" applyFont="1" applyFill="1" applyBorder="1" applyAlignment="1" applyProtection="1">
      <alignment horizontal="left"/>
      <protection/>
    </xf>
    <xf numFmtId="0" fontId="22" fillId="39" borderId="69" xfId="0" applyFont="1" applyFill="1" applyBorder="1" applyAlignment="1" applyProtection="1">
      <alignment horizontal="center"/>
      <protection/>
    </xf>
    <xf numFmtId="0" fontId="22" fillId="39" borderId="70" xfId="0" applyFont="1" applyFill="1" applyBorder="1" applyAlignment="1" applyProtection="1">
      <alignment horizontal="center"/>
      <protection/>
    </xf>
    <xf numFmtId="0" fontId="22" fillId="39" borderId="78" xfId="0" applyFont="1" applyFill="1" applyBorder="1" applyAlignment="1" applyProtection="1">
      <alignment horizontal="center"/>
      <protection/>
    </xf>
    <xf numFmtId="0" fontId="22" fillId="39" borderId="79" xfId="0" applyFont="1" applyFill="1" applyBorder="1" applyAlignment="1" applyProtection="1">
      <alignment horizontal="center"/>
      <protection/>
    </xf>
    <xf numFmtId="0" fontId="22" fillId="0" borderId="80" xfId="0" applyFont="1" applyFill="1" applyBorder="1" applyAlignment="1" applyProtection="1">
      <alignment horizontal="left"/>
      <protection/>
    </xf>
    <xf numFmtId="0" fontId="0" fillId="0" borderId="71" xfId="0" applyFont="1" applyFill="1" applyBorder="1" applyAlignment="1" applyProtection="1">
      <alignment/>
      <protection/>
    </xf>
    <xf numFmtId="0" fontId="26" fillId="0" borderId="81" xfId="0" applyFont="1" applyBorder="1" applyAlignment="1" applyProtection="1">
      <alignment/>
      <protection/>
    </xf>
    <xf numFmtId="0" fontId="26" fillId="0" borderId="82" xfId="0" applyFont="1" applyBorder="1" applyAlignment="1" applyProtection="1">
      <alignment/>
      <protection/>
    </xf>
    <xf numFmtId="0" fontId="26" fillId="0" borderId="83" xfId="0" applyFont="1" applyFill="1" applyBorder="1" applyAlignment="1" applyProtection="1">
      <alignment horizontal="center"/>
      <protection/>
    </xf>
    <xf numFmtId="0" fontId="26" fillId="0" borderId="84" xfId="0" applyFont="1" applyFill="1" applyBorder="1" applyAlignment="1" applyProtection="1">
      <alignment horizontal="center"/>
      <protection/>
    </xf>
    <xf numFmtId="0" fontId="26" fillId="0" borderId="8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center"/>
      <protection locked="0"/>
    </xf>
    <xf numFmtId="0" fontId="28" fillId="0" borderId="87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88" xfId="0" applyBorder="1" applyAlignment="1" applyProtection="1">
      <alignment/>
      <protection/>
    </xf>
    <xf numFmtId="0" fontId="28" fillId="0" borderId="88" xfId="0" applyFont="1" applyBorder="1" applyAlignment="1" applyProtection="1">
      <alignment horizontal="center"/>
      <protection/>
    </xf>
    <xf numFmtId="0" fontId="28" fillId="0" borderId="88" xfId="0" applyFont="1" applyBorder="1" applyAlignment="1" applyProtection="1">
      <alignment/>
      <protection/>
    </xf>
    <xf numFmtId="0" fontId="28" fillId="0" borderId="70" xfId="0" applyFont="1" applyBorder="1" applyAlignment="1" applyProtection="1">
      <alignment horizontal="center"/>
      <protection/>
    </xf>
    <xf numFmtId="0" fontId="28" fillId="0" borderId="74" xfId="0" applyFont="1" applyBorder="1" applyAlignment="1" applyProtection="1">
      <alignment horizontal="center"/>
      <protection/>
    </xf>
    <xf numFmtId="0" fontId="28" fillId="0" borderId="76" xfId="0" applyFont="1" applyBorder="1" applyAlignment="1" applyProtection="1">
      <alignment horizontal="center"/>
      <protection/>
    </xf>
    <xf numFmtId="0" fontId="28" fillId="0" borderId="70" xfId="0" applyFont="1" applyBorder="1" applyAlignment="1" applyProtection="1">
      <alignment horizontal="left"/>
      <protection/>
    </xf>
    <xf numFmtId="0" fontId="28" fillId="0" borderId="76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70" fontId="19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170" fontId="28" fillId="0" borderId="0" xfId="0" applyNumberFormat="1" applyFont="1" applyAlignment="1" applyProtection="1">
      <alignment horizontal="right"/>
      <protection/>
    </xf>
    <xf numFmtId="0" fontId="1" fillId="0" borderId="88" xfId="0" applyFont="1" applyBorder="1" applyAlignment="1" applyProtection="1">
      <alignment horizontal="center"/>
      <protection/>
    </xf>
    <xf numFmtId="0" fontId="0" fillId="0" borderId="88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170" fontId="0" fillId="0" borderId="56" xfId="0" applyNumberFormat="1" applyBorder="1" applyAlignment="1" applyProtection="1">
      <alignment horizontal="center" vertical="center"/>
      <protection locked="0"/>
    </xf>
    <xf numFmtId="170" fontId="0" fillId="0" borderId="34" xfId="0" applyNumberFormat="1" applyBorder="1" applyAlignment="1" applyProtection="1">
      <alignment horizontal="center"/>
      <protection locked="0"/>
    </xf>
    <xf numFmtId="0" fontId="0" fillId="0" borderId="76" xfId="0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20" fontId="0" fillId="0" borderId="61" xfId="0" applyNumberForma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170" fontId="0" fillId="0" borderId="56" xfId="0" applyNumberFormat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90" xfId="0" applyBorder="1" applyAlignment="1" applyProtection="1">
      <alignment/>
      <protection locked="0"/>
    </xf>
    <xf numFmtId="170" fontId="0" fillId="0" borderId="91" xfId="0" applyNumberFormat="1" applyBorder="1" applyAlignment="1" applyProtection="1">
      <alignment horizontal="center"/>
      <protection locked="0"/>
    </xf>
    <xf numFmtId="170" fontId="0" fillId="0" borderId="92" xfId="0" applyNumberFormat="1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70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93" xfId="0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/>
    </xf>
    <xf numFmtId="49" fontId="0" fillId="0" borderId="93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5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8" fillId="0" borderId="94" xfId="0" applyFont="1" applyBorder="1" applyAlignment="1" applyProtection="1">
      <alignment/>
      <protection locked="0"/>
    </xf>
    <xf numFmtId="0" fontId="28" fillId="0" borderId="95" xfId="0" applyFont="1" applyBorder="1" applyAlignment="1" applyProtection="1">
      <alignment/>
      <protection locked="0"/>
    </xf>
    <xf numFmtId="0" fontId="28" fillId="0" borderId="96" xfId="0" applyFont="1" applyBorder="1" applyAlignment="1" applyProtection="1">
      <alignment/>
      <protection locked="0"/>
    </xf>
    <xf numFmtId="173" fontId="28" fillId="0" borderId="94" xfId="0" applyNumberFormat="1" applyFont="1" applyBorder="1" applyAlignment="1" applyProtection="1">
      <alignment/>
      <protection locked="0"/>
    </xf>
    <xf numFmtId="0" fontId="28" fillId="0" borderId="95" xfId="0" applyFon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/>
      <protection locked="0"/>
    </xf>
    <xf numFmtId="0" fontId="28" fillId="0" borderId="95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168" fontId="27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38" borderId="0" xfId="0" applyFont="1" applyFill="1" applyAlignment="1">
      <alignment/>
    </xf>
    <xf numFmtId="0" fontId="42" fillId="39" borderId="0" xfId="0" applyFont="1" applyFill="1" applyAlignment="1">
      <alignment/>
    </xf>
    <xf numFmtId="0" fontId="42" fillId="40" borderId="0" xfId="0" applyFont="1" applyFill="1" applyAlignment="1">
      <alignment/>
    </xf>
    <xf numFmtId="0" fontId="0" fillId="36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36" borderId="0" xfId="0" applyFont="1" applyFill="1" applyAlignment="1" applyProtection="1">
      <alignment horizontal="center"/>
      <protection/>
    </xf>
    <xf numFmtId="0" fontId="22" fillId="36" borderId="0" xfId="0" applyFont="1" applyFill="1" applyBorder="1" applyAlignment="1" applyProtection="1">
      <alignment horizontal="center"/>
      <protection/>
    </xf>
    <xf numFmtId="0" fontId="26" fillId="36" borderId="97" xfId="0" applyFont="1" applyFill="1" applyBorder="1" applyAlignment="1" applyProtection="1">
      <alignment horizontal="center"/>
      <protection/>
    </xf>
    <xf numFmtId="0" fontId="26" fillId="36" borderId="0" xfId="0" applyFont="1" applyFill="1" applyBorder="1" applyAlignment="1" applyProtection="1">
      <alignment horizontal="center"/>
      <protection/>
    </xf>
    <xf numFmtId="0" fontId="26" fillId="36" borderId="52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6" fillId="36" borderId="0" xfId="0" applyFont="1" applyFill="1" applyBorder="1" applyAlignment="1" applyProtection="1">
      <alignment/>
      <protection/>
    </xf>
    <xf numFmtId="0" fontId="26" fillId="37" borderId="68" xfId="0" applyFont="1" applyFill="1" applyBorder="1" applyAlignment="1" applyProtection="1">
      <alignment horizontal="center"/>
      <protection/>
    </xf>
    <xf numFmtId="0" fontId="0" fillId="36" borderId="98" xfId="0" applyFont="1" applyFill="1" applyBorder="1" applyAlignment="1" applyProtection="1">
      <alignment/>
      <protection/>
    </xf>
    <xf numFmtId="0" fontId="26" fillId="36" borderId="99" xfId="0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vertical="center"/>
      <protection/>
    </xf>
    <xf numFmtId="0" fontId="32" fillId="36" borderId="0" xfId="0" applyFont="1" applyFill="1" applyAlignment="1" applyProtection="1">
      <alignment/>
      <protection/>
    </xf>
    <xf numFmtId="0" fontId="1" fillId="36" borderId="1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/>
      <protection/>
    </xf>
    <xf numFmtId="0" fontId="22" fillId="36" borderId="0" xfId="0" applyFont="1" applyFill="1" applyBorder="1" applyAlignment="1" applyProtection="1">
      <alignment/>
      <protection/>
    </xf>
    <xf numFmtId="0" fontId="22" fillId="36" borderId="0" xfId="0" applyFont="1" applyFill="1" applyAlignment="1" applyProtection="1">
      <alignment/>
      <protection/>
    </xf>
    <xf numFmtId="0" fontId="22" fillId="36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18" fillId="36" borderId="97" xfId="0" applyFont="1" applyFill="1" applyBorder="1" applyAlignment="1" applyProtection="1">
      <alignment horizontal="center"/>
      <protection/>
    </xf>
    <xf numFmtId="0" fontId="18" fillId="36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6" fillId="36" borderId="55" xfId="0" applyFont="1" applyFill="1" applyBorder="1" applyAlignment="1" applyProtection="1">
      <alignment vertical="center"/>
      <protection/>
    </xf>
    <xf numFmtId="0" fontId="26" fillId="36" borderId="24" xfId="0" applyFont="1" applyFill="1" applyBorder="1" applyAlignment="1" applyProtection="1">
      <alignment vertical="center"/>
      <protection/>
    </xf>
    <xf numFmtId="0" fontId="26" fillId="36" borderId="33" xfId="0" applyFont="1" applyFill="1" applyBorder="1" applyAlignment="1" applyProtection="1">
      <alignment vertical="center"/>
      <protection/>
    </xf>
    <xf numFmtId="0" fontId="26" fillId="36" borderId="55" xfId="0" applyFont="1" applyFill="1" applyBorder="1" applyAlignment="1" applyProtection="1">
      <alignment/>
      <protection/>
    </xf>
    <xf numFmtId="0" fontId="26" fillId="36" borderId="29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center"/>
      <protection/>
    </xf>
    <xf numFmtId="1" fontId="1" fillId="36" borderId="0" xfId="0" applyNumberFormat="1" applyFont="1" applyFill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0" fillId="36" borderId="0" xfId="0" applyNumberFormat="1" applyFill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" fontId="1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/>
      <protection/>
    </xf>
    <xf numFmtId="0" fontId="30" fillId="0" borderId="66" xfId="0" applyFont="1" applyBorder="1" applyAlignment="1" applyProtection="1">
      <alignment horizontal="left"/>
      <protection/>
    </xf>
    <xf numFmtId="0" fontId="30" fillId="0" borderId="67" xfId="0" applyFont="1" applyBorder="1" applyAlignment="1" applyProtection="1">
      <alignment horizontal="center"/>
      <protection/>
    </xf>
    <xf numFmtId="0" fontId="31" fillId="0" borderId="67" xfId="0" applyFont="1" applyFill="1" applyBorder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30" fillId="0" borderId="86" xfId="0" applyFont="1" applyBorder="1" applyAlignment="1" applyProtection="1">
      <alignment horizontal="left"/>
      <protection/>
    </xf>
    <xf numFmtId="0" fontId="30" fillId="0" borderId="100" xfId="0" applyFont="1" applyBorder="1" applyAlignment="1" applyProtection="1">
      <alignment horizontal="center"/>
      <protection/>
    </xf>
    <xf numFmtId="0" fontId="31" fillId="0" borderId="100" xfId="0" applyFont="1" applyFill="1" applyBorder="1" applyAlignment="1" applyProtection="1">
      <alignment horizontal="center"/>
      <protection/>
    </xf>
    <xf numFmtId="0" fontId="1" fillId="0" borderId="76" xfId="0" applyFont="1" applyBorder="1" applyAlignment="1" applyProtection="1">
      <alignment horizontal="center"/>
      <protection/>
    </xf>
    <xf numFmtId="0" fontId="30" fillId="0" borderId="87" xfId="0" applyFont="1" applyBorder="1" applyAlignment="1" applyProtection="1">
      <alignment horizontal="left"/>
      <protection/>
    </xf>
    <xf numFmtId="0" fontId="5" fillId="0" borderId="88" xfId="0" applyFont="1" applyBorder="1" applyAlignment="1" applyProtection="1">
      <alignment horizontal="center"/>
      <protection/>
    </xf>
    <xf numFmtId="0" fontId="5" fillId="0" borderId="98" xfId="0" applyFont="1" applyBorder="1" applyAlignment="1" applyProtection="1">
      <alignment horizont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55" xfId="0" applyNumberFormat="1" applyFont="1" applyFill="1" applyBorder="1" applyAlignment="1" applyProtection="1">
      <alignment horizontal="center" vertical="center"/>
      <protection/>
    </xf>
    <xf numFmtId="1" fontId="0" fillId="0" borderId="67" xfId="0" applyNumberFormat="1" applyFont="1" applyFill="1" applyBorder="1" applyAlignment="1" applyProtection="1">
      <alignment horizontal="center" vertical="center"/>
      <protection/>
    </xf>
    <xf numFmtId="1" fontId="0" fillId="0" borderId="86" xfId="0" applyNumberFormat="1" applyFont="1" applyFill="1" applyBorder="1" applyAlignment="1" applyProtection="1">
      <alignment horizontal="center" vertical="center"/>
      <protection/>
    </xf>
    <xf numFmtId="1" fontId="0" fillId="0" borderId="24" xfId="0" applyNumberFormat="1" applyFont="1" applyFill="1" applyBorder="1" applyAlignment="1" applyProtection="1">
      <alignment horizontal="center" vertical="center"/>
      <protection/>
    </xf>
    <xf numFmtId="1" fontId="0" fillId="0" borderId="100" xfId="0" applyNumberFormat="1" applyFont="1" applyFill="1" applyBorder="1" applyAlignment="1" applyProtection="1">
      <alignment horizontal="center" vertical="center"/>
      <protection/>
    </xf>
    <xf numFmtId="1" fontId="0" fillId="0" borderId="101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" vertical="center"/>
      <protection/>
    </xf>
    <xf numFmtId="1" fontId="0" fillId="0" borderId="10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0" fontId="0" fillId="36" borderId="0" xfId="0" applyFill="1" applyAlignment="1" applyProtection="1">
      <alignment vertic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170" fontId="28" fillId="0" borderId="0" xfId="47" applyNumberFormat="1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1" fillId="0" borderId="90" xfId="0" applyFont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5" fillId="0" borderId="93" xfId="0" applyFont="1" applyBorder="1" applyAlignment="1" applyProtection="1">
      <alignment horizontal="center"/>
      <protection/>
    </xf>
    <xf numFmtId="0" fontId="1" fillId="0" borderId="103" xfId="0" applyFont="1" applyFill="1" applyBorder="1" applyAlignment="1" applyProtection="1">
      <alignment horizontal="center"/>
      <protection/>
    </xf>
    <xf numFmtId="1" fontId="1" fillId="0" borderId="87" xfId="0" applyNumberFormat="1" applyFont="1" applyFill="1" applyBorder="1" applyAlignment="1" applyProtection="1">
      <alignment horizontal="center" vertical="center"/>
      <protection/>
    </xf>
    <xf numFmtId="1" fontId="1" fillId="0" borderId="58" xfId="0" applyNumberFormat="1" applyFont="1" applyFill="1" applyBorder="1" applyAlignment="1" applyProtection="1">
      <alignment horizontal="center" vertical="center"/>
      <protection/>
    </xf>
    <xf numFmtId="1" fontId="1" fillId="0" borderId="103" xfId="0" applyNumberFormat="1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" fillId="0" borderId="104" xfId="0" applyFont="1" applyBorder="1" applyAlignment="1" applyProtection="1">
      <alignment vertical="center"/>
      <protection/>
    </xf>
    <xf numFmtId="0" fontId="1" fillId="0" borderId="97" xfId="0" applyFont="1" applyBorder="1" applyAlignment="1" applyProtection="1">
      <alignment vertical="center"/>
      <protection/>
    </xf>
    <xf numFmtId="0" fontId="0" fillId="0" borderId="105" xfId="0" applyBorder="1" applyAlignment="1" applyProtection="1">
      <alignment vertical="center"/>
      <protection/>
    </xf>
    <xf numFmtId="0" fontId="0" fillId="0" borderId="97" xfId="0" applyBorder="1" applyAlignment="1" applyProtection="1">
      <alignment/>
      <protection/>
    </xf>
    <xf numFmtId="0" fontId="0" fillId="0" borderId="10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6" borderId="21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06" xfId="0" applyBorder="1" applyAlignment="1" applyProtection="1">
      <alignment/>
      <protection/>
    </xf>
    <xf numFmtId="0" fontId="0" fillId="36" borderId="106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6" borderId="24" xfId="0" applyFont="1" applyFill="1" applyBorder="1" applyAlignment="1" applyProtection="1">
      <alignment/>
      <protection/>
    </xf>
    <xf numFmtId="0" fontId="0" fillId="39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6" borderId="29" xfId="0" applyFont="1" applyFill="1" applyBorder="1" applyAlignment="1" applyProtection="1">
      <alignment/>
      <protection/>
    </xf>
    <xf numFmtId="0" fontId="0" fillId="36" borderId="33" xfId="0" applyFont="1" applyFill="1" applyBorder="1" applyAlignment="1" applyProtection="1">
      <alignment/>
      <protection/>
    </xf>
    <xf numFmtId="0" fontId="0" fillId="0" borderId="107" xfId="0" applyBorder="1" applyAlignment="1" applyProtection="1">
      <alignment horizontal="center" vertical="center"/>
      <protection/>
    </xf>
    <xf numFmtId="0" fontId="0" fillId="34" borderId="108" xfId="0" applyFont="1" applyFill="1" applyBorder="1" applyAlignment="1" applyProtection="1">
      <alignment horizontal="center" vertical="center" wrapText="1"/>
      <protection/>
    </xf>
    <xf numFmtId="0" fontId="0" fillId="34" borderId="109" xfId="0" applyFont="1" applyFill="1" applyBorder="1" applyAlignment="1" applyProtection="1">
      <alignment horizontal="center" vertical="center" wrapText="1"/>
      <protection/>
    </xf>
    <xf numFmtId="0" fontId="0" fillId="0" borderId="110" xfId="0" applyBorder="1" applyAlignment="1" applyProtection="1">
      <alignment/>
      <protection/>
    </xf>
    <xf numFmtId="0" fontId="6" fillId="39" borderId="111" xfId="0" applyFont="1" applyFill="1" applyBorder="1" applyAlignment="1" applyProtection="1">
      <alignment vertical="center" wrapText="1"/>
      <protection/>
    </xf>
    <xf numFmtId="0" fontId="0" fillId="39" borderId="112" xfId="0" applyFont="1" applyFill="1" applyBorder="1" applyAlignment="1" applyProtection="1">
      <alignment vertical="center"/>
      <protection/>
    </xf>
    <xf numFmtId="0" fontId="7" fillId="34" borderId="113" xfId="0" applyFont="1" applyFill="1" applyBorder="1" applyAlignment="1" applyProtection="1">
      <alignment vertical="center"/>
      <protection/>
    </xf>
    <xf numFmtId="0" fontId="7" fillId="34" borderId="114" xfId="0" applyFont="1" applyFill="1" applyBorder="1" applyAlignment="1" applyProtection="1">
      <alignment vertical="center"/>
      <protection/>
    </xf>
    <xf numFmtId="0" fontId="6" fillId="34" borderId="115" xfId="0" applyFont="1" applyFill="1" applyBorder="1" applyAlignment="1" applyProtection="1">
      <alignment vertical="center" wrapText="1"/>
      <protection/>
    </xf>
    <xf numFmtId="0" fontId="0" fillId="36" borderId="97" xfId="0" applyFont="1" applyFill="1" applyBorder="1" applyAlignment="1" applyProtection="1">
      <alignment vertical="center" wrapText="1"/>
      <protection/>
    </xf>
    <xf numFmtId="0" fontId="8" fillId="34" borderId="116" xfId="0" applyFont="1" applyFill="1" applyBorder="1" applyAlignment="1" applyProtection="1">
      <alignment vertical="center"/>
      <protection/>
    </xf>
    <xf numFmtId="0" fontId="0" fillId="34" borderId="97" xfId="0" applyFont="1" applyFill="1" applyBorder="1" applyAlignment="1" applyProtection="1">
      <alignment vertical="center"/>
      <protection/>
    </xf>
    <xf numFmtId="0" fontId="0" fillId="39" borderId="113" xfId="0" applyFont="1" applyFill="1" applyBorder="1" applyAlignment="1" applyProtection="1">
      <alignment vertical="center"/>
      <protection/>
    </xf>
    <xf numFmtId="0" fontId="0" fillId="39" borderId="114" xfId="0" applyFont="1" applyFill="1" applyBorder="1" applyAlignment="1" applyProtection="1">
      <alignment vertical="center"/>
      <protection/>
    </xf>
    <xf numFmtId="0" fontId="0" fillId="39" borderId="117" xfId="0" applyFont="1" applyFill="1" applyBorder="1" applyAlignment="1" applyProtection="1">
      <alignment vertical="center"/>
      <protection/>
    </xf>
    <xf numFmtId="0" fontId="7" fillId="36" borderId="19" xfId="0" applyFont="1" applyFill="1" applyBorder="1" applyAlignment="1" applyProtection="1">
      <alignment vertical="center"/>
      <protection/>
    </xf>
    <xf numFmtId="0" fontId="7" fillId="36" borderId="0" xfId="0" applyFont="1" applyFill="1" applyBorder="1" applyAlignment="1" applyProtection="1">
      <alignment vertical="center"/>
      <protection/>
    </xf>
    <xf numFmtId="0" fontId="6" fillId="36" borderId="0" xfId="0" applyFont="1" applyFill="1" applyBorder="1" applyAlignment="1" applyProtection="1">
      <alignment vertical="center" wrapText="1"/>
      <protection/>
    </xf>
    <xf numFmtId="0" fontId="0" fillId="36" borderId="0" xfId="0" applyFont="1" applyFill="1" applyBorder="1" applyAlignment="1" applyProtection="1">
      <alignment vertical="center" wrapText="1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18" xfId="0" applyFont="1" applyFill="1" applyBorder="1" applyAlignment="1" applyProtection="1">
      <alignment vertical="center"/>
      <protection/>
    </xf>
    <xf numFmtId="0" fontId="0" fillId="36" borderId="51" xfId="0" applyFont="1" applyFill="1" applyBorder="1" applyAlignment="1" applyProtection="1">
      <alignment vertical="center"/>
      <protection/>
    </xf>
    <xf numFmtId="0" fontId="0" fillId="36" borderId="119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/>
      <protection/>
    </xf>
    <xf numFmtId="0" fontId="9" fillId="34" borderId="120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0" fillId="36" borderId="55" xfId="0" applyFont="1" applyFill="1" applyBorder="1" applyAlignment="1" applyProtection="1">
      <alignment horizontal="center"/>
      <protection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vertical="center"/>
      <protection/>
    </xf>
    <xf numFmtId="0" fontId="1" fillId="34" borderId="21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1" fillId="34" borderId="28" xfId="0" applyFont="1" applyFill="1" applyBorder="1" applyAlignment="1" applyProtection="1">
      <alignment vertical="center"/>
      <protection/>
    </xf>
    <xf numFmtId="0" fontId="1" fillId="34" borderId="29" xfId="0" applyFont="1" applyFill="1" applyBorder="1" applyAlignment="1" applyProtection="1">
      <alignment/>
      <protection/>
    </xf>
    <xf numFmtId="0" fontId="0" fillId="34" borderId="121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59" xfId="0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9" fillId="34" borderId="37" xfId="0" applyFont="1" applyFill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34" borderId="122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 applyProtection="1">
      <alignment horizontal="center"/>
      <protection locked="0"/>
    </xf>
    <xf numFmtId="0" fontId="9" fillId="34" borderId="42" xfId="0" applyFont="1" applyFill="1" applyBorder="1" applyAlignment="1" applyProtection="1">
      <alignment horizontal="center"/>
      <protection locked="0"/>
    </xf>
    <xf numFmtId="0" fontId="0" fillId="34" borderId="70" xfId="0" applyFill="1" applyBorder="1" applyAlignment="1" applyProtection="1">
      <alignment/>
      <protection/>
    </xf>
    <xf numFmtId="0" fontId="0" fillId="34" borderId="76" xfId="0" applyFill="1" applyBorder="1" applyAlignment="1" applyProtection="1">
      <alignment/>
      <protection/>
    </xf>
    <xf numFmtId="0" fontId="1" fillId="0" borderId="89" xfId="0" applyFont="1" applyBorder="1" applyAlignment="1" applyProtection="1">
      <alignment horizontal="center"/>
      <protection/>
    </xf>
    <xf numFmtId="0" fontId="0" fillId="34" borderId="123" xfId="0" applyFont="1" applyFill="1" applyBorder="1" applyAlignment="1" applyProtection="1">
      <alignment vertical="center"/>
      <protection/>
    </xf>
    <xf numFmtId="0" fontId="0" fillId="34" borderId="95" xfId="0" applyFont="1" applyFill="1" applyBorder="1" applyAlignment="1" applyProtection="1">
      <alignment vertical="center"/>
      <protection/>
    </xf>
    <xf numFmtId="0" fontId="0" fillId="36" borderId="95" xfId="0" applyFont="1" applyFill="1" applyBorder="1" applyAlignment="1" applyProtection="1">
      <alignment vertical="center"/>
      <protection/>
    </xf>
    <xf numFmtId="0" fontId="10" fillId="34" borderId="95" xfId="0" applyFont="1" applyFill="1" applyBorder="1" applyAlignment="1" applyProtection="1">
      <alignment vertical="center"/>
      <protection/>
    </xf>
    <xf numFmtId="0" fontId="0" fillId="34" borderId="94" xfId="0" applyFont="1" applyFill="1" applyBorder="1" applyAlignment="1" applyProtection="1">
      <alignment vertical="center"/>
      <protection/>
    </xf>
    <xf numFmtId="0" fontId="11" fillId="34" borderId="95" xfId="0" applyFont="1" applyFill="1" applyBorder="1" applyAlignment="1" applyProtection="1">
      <alignment vertical="center"/>
      <protection/>
    </xf>
    <xf numFmtId="0" fontId="12" fillId="34" borderId="95" xfId="0" applyFont="1" applyFill="1" applyBorder="1" applyAlignment="1" applyProtection="1">
      <alignment vertical="center"/>
      <protection/>
    </xf>
    <xf numFmtId="0" fontId="0" fillId="34" borderId="94" xfId="0" applyFill="1" applyBorder="1" applyAlignment="1" applyProtection="1">
      <alignment vertical="center"/>
      <protection/>
    </xf>
    <xf numFmtId="0" fontId="13" fillId="34" borderId="95" xfId="0" applyFont="1" applyFill="1" applyBorder="1" applyAlignment="1" applyProtection="1">
      <alignment vertical="center"/>
      <protection/>
    </xf>
    <xf numFmtId="0" fontId="7" fillId="34" borderId="124" xfId="0" applyFont="1" applyFill="1" applyBorder="1" applyAlignment="1" applyProtection="1">
      <alignment vertical="center"/>
      <protection/>
    </xf>
    <xf numFmtId="0" fontId="7" fillId="34" borderId="125" xfId="0" applyFont="1" applyFill="1" applyBorder="1" applyAlignment="1" applyProtection="1">
      <alignment vertical="center"/>
      <protection/>
    </xf>
    <xf numFmtId="0" fontId="0" fillId="36" borderId="125" xfId="0" applyFont="1" applyFill="1" applyBorder="1" applyAlignment="1" applyProtection="1">
      <alignment vertical="center"/>
      <protection/>
    </xf>
    <xf numFmtId="0" fontId="7" fillId="34" borderId="126" xfId="0" applyFont="1" applyFill="1" applyBorder="1" applyAlignment="1" applyProtection="1">
      <alignment vertical="center"/>
      <protection/>
    </xf>
    <xf numFmtId="0" fontId="7" fillId="34" borderId="127" xfId="0" applyFont="1" applyFill="1" applyBorder="1" applyAlignment="1" applyProtection="1">
      <alignment vertical="center"/>
      <protection/>
    </xf>
    <xf numFmtId="0" fontId="7" fillId="34" borderId="128" xfId="0" applyFont="1" applyFill="1" applyBorder="1" applyAlignment="1" applyProtection="1">
      <alignment vertical="center"/>
      <protection/>
    </xf>
    <xf numFmtId="0" fontId="28" fillId="0" borderId="94" xfId="0" applyFont="1" applyBorder="1" applyAlignment="1" applyProtection="1">
      <alignment/>
      <protection/>
    </xf>
    <xf numFmtId="0" fontId="28" fillId="0" borderId="95" xfId="0" applyFont="1" applyBorder="1" applyAlignment="1" applyProtection="1">
      <alignment/>
      <protection/>
    </xf>
    <xf numFmtId="0" fontId="28" fillId="0" borderId="96" xfId="0" applyFont="1" applyBorder="1" applyAlignment="1" applyProtection="1">
      <alignment/>
      <protection/>
    </xf>
    <xf numFmtId="173" fontId="28" fillId="0" borderId="94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70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170" fontId="0" fillId="0" borderId="67" xfId="0" applyNumberFormat="1" applyFont="1" applyFill="1" applyBorder="1" applyAlignment="1" applyProtection="1">
      <alignment horizontal="left" vertical="center"/>
      <protection/>
    </xf>
    <xf numFmtId="1" fontId="1" fillId="0" borderId="7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170" fontId="0" fillId="0" borderId="100" xfId="0" applyNumberFormat="1" applyFont="1" applyFill="1" applyBorder="1" applyAlignment="1" applyProtection="1">
      <alignment horizontal="left" vertical="center"/>
      <protection/>
    </xf>
    <xf numFmtId="1" fontId="1" fillId="0" borderId="7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1" fontId="1" fillId="0" borderId="76" xfId="0" applyNumberFormat="1" applyFont="1" applyFill="1" applyBorder="1" applyAlignment="1" applyProtection="1">
      <alignment horizontal="center" vertical="center"/>
      <protection/>
    </xf>
    <xf numFmtId="170" fontId="0" fillId="0" borderId="102" xfId="0" applyNumberFormat="1" applyFont="1" applyFill="1" applyBorder="1" applyAlignment="1" applyProtection="1">
      <alignment horizontal="left" vertical="center"/>
      <protection/>
    </xf>
    <xf numFmtId="1" fontId="1" fillId="0" borderId="89" xfId="0" applyNumberFormat="1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170" fontId="0" fillId="0" borderId="0" xfId="0" applyNumberFormat="1" applyFill="1" applyAlignment="1" applyProtection="1">
      <alignment/>
      <protection/>
    </xf>
    <xf numFmtId="1" fontId="1" fillId="0" borderId="70" xfId="0" applyNumberFormat="1" applyFont="1" applyFill="1" applyBorder="1" applyAlignment="1" applyProtection="1">
      <alignment horizontal="center"/>
      <protection/>
    </xf>
    <xf numFmtId="0" fontId="1" fillId="0" borderId="103" xfId="0" applyFont="1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1" fillId="34" borderId="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6" borderId="24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1" fontId="5" fillId="0" borderId="106" xfId="0" applyNumberFormat="1" applyFont="1" applyBorder="1" applyAlignment="1" applyProtection="1">
      <alignment horizontal="left"/>
      <protection locked="0"/>
    </xf>
    <xf numFmtId="0" fontId="0" fillId="0" borderId="106" xfId="0" applyBorder="1" applyAlignment="1" applyProtection="1">
      <alignment/>
      <protection locked="0"/>
    </xf>
    <xf numFmtId="0" fontId="0" fillId="0" borderId="129" xfId="0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0" fillId="34" borderId="130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6" borderId="29" xfId="0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36" borderId="33" xfId="0" applyFont="1" applyFill="1" applyBorder="1" applyAlignment="1" applyProtection="1">
      <alignment/>
      <protection locked="0"/>
    </xf>
    <xf numFmtId="0" fontId="0" fillId="0" borderId="131" xfId="0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132" xfId="0" applyFont="1" applyBorder="1" applyAlignment="1" applyProtection="1">
      <alignment/>
      <protection locked="0"/>
    </xf>
    <xf numFmtId="166" fontId="5" fillId="37" borderId="70" xfId="0" applyNumberFormat="1" applyFont="1" applyFill="1" applyBorder="1" applyAlignment="1" applyProtection="1">
      <alignment horizontal="center"/>
      <protection locked="0"/>
    </xf>
    <xf numFmtId="0" fontId="5" fillId="37" borderId="66" xfId="0" applyFont="1" applyFill="1" applyBorder="1" applyAlignment="1" applyProtection="1">
      <alignment horizontal="center" vertical="center"/>
      <protection locked="0"/>
    </xf>
    <xf numFmtId="0" fontId="4" fillId="37" borderId="55" xfId="0" applyFont="1" applyFill="1" applyBorder="1" applyAlignment="1" applyProtection="1">
      <alignment horizontal="center" vertical="center"/>
      <protection/>
    </xf>
    <xf numFmtId="0" fontId="5" fillId="37" borderId="67" xfId="0" applyFont="1" applyFill="1" applyBorder="1" applyAlignment="1" applyProtection="1">
      <alignment horizontal="center" vertical="center"/>
      <protection locked="0"/>
    </xf>
    <xf numFmtId="0" fontId="5" fillId="37" borderId="87" xfId="0" applyFont="1" applyFill="1" applyBorder="1" applyAlignment="1" applyProtection="1">
      <alignment horizontal="center" vertical="center"/>
      <protection locked="0"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5" fillId="37" borderId="103" xfId="0" applyFont="1" applyFill="1" applyBorder="1" applyAlignment="1" applyProtection="1">
      <alignment horizontal="center" vertical="center"/>
      <protection locked="0"/>
    </xf>
    <xf numFmtId="20" fontId="1" fillId="37" borderId="133" xfId="0" applyNumberFormat="1" applyFont="1" applyFill="1" applyBorder="1" applyAlignment="1" applyProtection="1">
      <alignment horizontal="center"/>
      <protection locked="0"/>
    </xf>
    <xf numFmtId="1" fontId="5" fillId="37" borderId="70" xfId="0" applyNumberFormat="1" applyFont="1" applyFill="1" applyBorder="1" applyAlignment="1" applyProtection="1">
      <alignment horizontal="center" vertical="center"/>
      <protection locked="0"/>
    </xf>
    <xf numFmtId="1" fontId="5" fillId="37" borderId="76" xfId="0" applyNumberFormat="1" applyFont="1" applyFill="1" applyBorder="1" applyAlignment="1" applyProtection="1">
      <alignment horizontal="center" vertical="center"/>
      <protection locked="0"/>
    </xf>
    <xf numFmtId="0" fontId="5" fillId="37" borderId="87" xfId="0" applyFont="1" applyFill="1" applyBorder="1" applyAlignment="1" applyProtection="1">
      <alignment horizontal="center"/>
      <protection locked="0"/>
    </xf>
    <xf numFmtId="0" fontId="5" fillId="37" borderId="58" xfId="0" applyFont="1" applyFill="1" applyBorder="1" applyAlignment="1" applyProtection="1">
      <alignment horizontal="center"/>
      <protection/>
    </xf>
    <xf numFmtId="0" fontId="5" fillId="37" borderId="134" xfId="0" applyFont="1" applyFill="1" applyBorder="1" applyAlignment="1" applyProtection="1">
      <alignment horizontal="center"/>
      <protection locked="0"/>
    </xf>
    <xf numFmtId="0" fontId="5" fillId="37" borderId="62" xfId="0" applyFont="1" applyFill="1" applyBorder="1" applyAlignment="1" applyProtection="1">
      <alignment horizontal="center"/>
      <protection locked="0"/>
    </xf>
    <xf numFmtId="0" fontId="5" fillId="37" borderId="103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5" fillId="0" borderId="135" xfId="0" applyFont="1" applyBorder="1" applyAlignment="1" applyProtection="1">
      <alignment horizontal="center" vertical="center"/>
      <protection/>
    </xf>
    <xf numFmtId="0" fontId="1" fillId="36" borderId="95" xfId="0" applyFont="1" applyFill="1" applyBorder="1" applyAlignment="1" applyProtection="1">
      <alignment horizontal="center"/>
      <protection/>
    </xf>
    <xf numFmtId="1" fontId="1" fillId="36" borderId="135" xfId="0" applyNumberFormat="1" applyFont="1" applyFill="1" applyBorder="1" applyAlignment="1" applyProtection="1">
      <alignment horizontal="center" vertical="center"/>
      <protection/>
    </xf>
    <xf numFmtId="1" fontId="1" fillId="0" borderId="94" xfId="0" applyNumberFormat="1" applyFont="1" applyBorder="1" applyAlignment="1" applyProtection="1">
      <alignment horizontal="center" vertical="center"/>
      <protection/>
    </xf>
    <xf numFmtId="1" fontId="1" fillId="0" borderId="95" xfId="0" applyNumberFormat="1" applyFont="1" applyBorder="1" applyAlignment="1" applyProtection="1">
      <alignment horizontal="center" vertical="center"/>
      <protection/>
    </xf>
    <xf numFmtId="1" fontId="1" fillId="0" borderId="96" xfId="0" applyNumberFormat="1" applyFont="1" applyBorder="1" applyAlignment="1" applyProtection="1">
      <alignment horizontal="center" vertical="center"/>
      <protection/>
    </xf>
    <xf numFmtId="20" fontId="5" fillId="37" borderId="135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2" fontId="37" fillId="36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/>
    </xf>
    <xf numFmtId="2" fontId="19" fillId="36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left" vertical="center"/>
    </xf>
    <xf numFmtId="2" fontId="28" fillId="36" borderId="14" xfId="0" applyNumberFormat="1" applyFont="1" applyFill="1" applyBorder="1" applyAlignment="1">
      <alignment horizontal="center"/>
    </xf>
    <xf numFmtId="2" fontId="28" fillId="36" borderId="15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1" fillId="0" borderId="52" xfId="0" applyFont="1" applyBorder="1" applyAlignment="1" applyProtection="1">
      <alignment horizontal="center"/>
      <protection/>
    </xf>
    <xf numFmtId="0" fontId="30" fillId="0" borderId="52" xfId="0" applyFont="1" applyBorder="1" applyAlignment="1" applyProtection="1">
      <alignment horizontal="left"/>
      <protection/>
    </xf>
    <xf numFmtId="0" fontId="31" fillId="0" borderId="52" xfId="0" applyFont="1" applyFill="1" applyBorder="1" applyAlignment="1" applyProtection="1">
      <alignment horizontal="center"/>
      <protection/>
    </xf>
    <xf numFmtId="0" fontId="31" fillId="0" borderId="103" xfId="0" applyFont="1" applyFill="1" applyBorder="1" applyAlignment="1" applyProtection="1">
      <alignment horizontal="center"/>
      <protection/>
    </xf>
    <xf numFmtId="1" fontId="0" fillId="36" borderId="0" xfId="0" applyNumberFormat="1" applyFill="1" applyAlignment="1">
      <alignment horizontal="center"/>
    </xf>
    <xf numFmtId="0" fontId="5" fillId="0" borderId="88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/>
      <protection/>
    </xf>
    <xf numFmtId="1" fontId="5" fillId="37" borderId="135" xfId="0" applyNumberFormat="1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/>
    </xf>
    <xf numFmtId="0" fontId="4" fillId="0" borderId="95" xfId="0" applyFont="1" applyFill="1" applyBorder="1" applyAlignment="1" applyProtection="1">
      <alignment horizontal="center" vertical="center"/>
      <protection/>
    </xf>
    <xf numFmtId="0" fontId="1" fillId="0" borderId="135" xfId="0" applyFont="1" applyFill="1" applyBorder="1" applyAlignment="1" applyProtection="1">
      <alignment horizontal="center" vertical="center"/>
      <protection/>
    </xf>
    <xf numFmtId="0" fontId="5" fillId="37" borderId="94" xfId="0" applyFont="1" applyFill="1" applyBorder="1" applyAlignment="1" applyProtection="1">
      <alignment horizontal="center" vertical="center"/>
      <protection locked="0"/>
    </xf>
    <xf numFmtId="0" fontId="4" fillId="37" borderId="95" xfId="0" applyFont="1" applyFill="1" applyBorder="1" applyAlignment="1" applyProtection="1">
      <alignment horizontal="center" vertical="center"/>
      <protection/>
    </xf>
    <xf numFmtId="0" fontId="5" fillId="37" borderId="96" xfId="0" applyFont="1" applyFill="1" applyBorder="1" applyAlignment="1" applyProtection="1">
      <alignment horizontal="center" vertical="center"/>
      <protection locked="0"/>
    </xf>
    <xf numFmtId="0" fontId="0" fillId="0" borderId="94" xfId="0" applyFont="1" applyFill="1" applyBorder="1" applyAlignment="1" applyProtection="1">
      <alignment horizontal="center" vertical="center"/>
      <protection/>
    </xf>
    <xf numFmtId="1" fontId="5" fillId="37" borderId="88" xfId="0" applyNumberFormat="1" applyFont="1" applyFill="1" applyBorder="1" applyAlignment="1" applyProtection="1">
      <alignment horizontal="center" vertical="center"/>
      <protection locked="0"/>
    </xf>
    <xf numFmtId="0" fontId="1" fillId="0" borderId="136" xfId="0" applyFont="1" applyFill="1" applyBorder="1" applyAlignment="1" applyProtection="1">
      <alignment horizontal="center" vertical="center"/>
      <protection/>
    </xf>
    <xf numFmtId="0" fontId="4" fillId="0" borderId="99" xfId="0" applyFont="1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 vertical="center"/>
      <protection/>
    </xf>
    <xf numFmtId="0" fontId="5" fillId="37" borderId="136" xfId="0" applyFont="1" applyFill="1" applyBorder="1" applyAlignment="1" applyProtection="1">
      <alignment horizontal="center" vertical="center"/>
      <protection locked="0"/>
    </xf>
    <xf numFmtId="0" fontId="4" fillId="37" borderId="99" xfId="0" applyFont="1" applyFill="1" applyBorder="1" applyAlignment="1" applyProtection="1">
      <alignment horizontal="center" vertical="center"/>
      <protection/>
    </xf>
    <xf numFmtId="0" fontId="5" fillId="37" borderId="137" xfId="0" applyFont="1" applyFill="1" applyBorder="1" applyAlignment="1" applyProtection="1">
      <alignment horizontal="center" vertical="center"/>
      <protection locked="0"/>
    </xf>
    <xf numFmtId="0" fontId="0" fillId="0" borderId="136" xfId="0" applyFont="1" applyFill="1" applyBorder="1" applyAlignment="1" applyProtection="1">
      <alignment horizontal="center" vertical="center"/>
      <protection/>
    </xf>
    <xf numFmtId="170" fontId="0" fillId="0" borderId="96" xfId="0" applyNumberFormat="1" applyFont="1" applyFill="1" applyBorder="1" applyAlignment="1" applyProtection="1">
      <alignment horizontal="left" vertic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1" fontId="0" fillId="0" borderId="94" xfId="0" applyNumberFormat="1" applyFont="1" applyFill="1" applyBorder="1" applyAlignment="1" applyProtection="1">
      <alignment horizontal="center" vertical="center"/>
      <protection/>
    </xf>
    <xf numFmtId="1" fontId="0" fillId="0" borderId="95" xfId="0" applyNumberFormat="1" applyFont="1" applyFill="1" applyBorder="1" applyAlignment="1" applyProtection="1">
      <alignment horizontal="center" vertical="center"/>
      <protection/>
    </xf>
    <xf numFmtId="1" fontId="0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0" fontId="30" fillId="0" borderId="103" xfId="0" applyFont="1" applyBorder="1" applyAlignment="1" applyProtection="1">
      <alignment horizontal="center"/>
      <protection/>
    </xf>
    <xf numFmtId="0" fontId="0" fillId="34" borderId="95" xfId="0" applyFont="1" applyFill="1" applyBorder="1" applyAlignment="1" applyProtection="1">
      <alignment vertical="center"/>
      <protection locked="0"/>
    </xf>
    <xf numFmtId="0" fontId="0" fillId="34" borderId="96" xfId="0" applyFont="1" applyFill="1" applyBorder="1" applyAlignment="1" applyProtection="1">
      <alignment vertical="center"/>
      <protection locked="0"/>
    </xf>
    <xf numFmtId="0" fontId="12" fillId="34" borderId="95" xfId="0" applyFont="1" applyFill="1" applyBorder="1" applyAlignment="1" applyProtection="1">
      <alignment vertical="center"/>
      <protection locked="0"/>
    </xf>
    <xf numFmtId="0" fontId="12" fillId="34" borderId="138" xfId="0" applyFont="1" applyFill="1" applyBorder="1" applyAlignment="1" applyProtection="1">
      <alignment vertical="center"/>
      <protection locked="0"/>
    </xf>
    <xf numFmtId="0" fontId="4" fillId="34" borderId="138" xfId="0" applyFont="1" applyFill="1" applyBorder="1" applyAlignment="1" applyProtection="1">
      <alignment vertical="center"/>
      <protection locked="0"/>
    </xf>
    <xf numFmtId="0" fontId="7" fillId="34" borderId="125" xfId="0" applyFont="1" applyFill="1" applyBorder="1" applyAlignment="1" applyProtection="1">
      <alignment vertical="center"/>
      <protection locked="0"/>
    </xf>
    <xf numFmtId="0" fontId="7" fillId="34" borderId="139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24" fillId="0" borderId="0" xfId="0" applyFont="1" applyAlignment="1">
      <alignment/>
    </xf>
    <xf numFmtId="0" fontId="43" fillId="0" borderId="0" xfId="55">
      <alignment/>
      <protection/>
    </xf>
    <xf numFmtId="0" fontId="36" fillId="0" borderId="0" xfId="54" applyFont="1">
      <alignment/>
      <protection/>
    </xf>
    <xf numFmtId="0" fontId="43" fillId="0" borderId="0" xfId="54">
      <alignment/>
      <protection/>
    </xf>
    <xf numFmtId="0" fontId="44" fillId="0" borderId="0" xfId="55" applyFont="1" applyAlignment="1">
      <alignment/>
      <protection/>
    </xf>
    <xf numFmtId="0" fontId="1" fillId="0" borderId="0" xfId="55" applyFont="1">
      <alignment/>
      <protection/>
    </xf>
    <xf numFmtId="0" fontId="43" fillId="0" borderId="0" xfId="55" applyFill="1" applyBorder="1">
      <alignment/>
      <protection/>
    </xf>
    <xf numFmtId="0" fontId="7" fillId="0" borderId="0" xfId="55" applyFont="1" applyFill="1" applyBorder="1" applyAlignment="1">
      <alignment vertical="top"/>
      <protection/>
    </xf>
    <xf numFmtId="0" fontId="43" fillId="0" borderId="0" xfId="55" applyBorder="1">
      <alignment/>
      <protection/>
    </xf>
    <xf numFmtId="0" fontId="45" fillId="0" borderId="0" xfId="55" applyFont="1">
      <alignment/>
      <protection/>
    </xf>
    <xf numFmtId="0" fontId="46" fillId="0" borderId="0" xfId="55" applyFont="1" applyBorder="1">
      <alignment/>
      <protection/>
    </xf>
    <xf numFmtId="0" fontId="46" fillId="0" borderId="0" xfId="55" applyFont="1">
      <alignment/>
      <protection/>
    </xf>
    <xf numFmtId="0" fontId="29" fillId="0" borderId="0" xfId="0" applyFont="1" applyAlignment="1">
      <alignment horizontal="right"/>
    </xf>
    <xf numFmtId="0" fontId="47" fillId="0" borderId="0" xfId="55" applyFont="1">
      <alignment/>
      <protection/>
    </xf>
    <xf numFmtId="0" fontId="44" fillId="0" borderId="0" xfId="55" applyFont="1" applyBorder="1" applyAlignment="1">
      <alignment/>
      <protection/>
    </xf>
    <xf numFmtId="0" fontId="48" fillId="34" borderId="0" xfId="55" applyFont="1" applyFill="1">
      <alignment/>
      <protection/>
    </xf>
    <xf numFmtId="0" fontId="5" fillId="0" borderId="0" xfId="55" applyFont="1" applyBorder="1" applyAlignment="1">
      <alignment/>
      <protection/>
    </xf>
    <xf numFmtId="0" fontId="5" fillId="0" borderId="0" xfId="55" applyFont="1" applyAlignment="1">
      <alignment/>
      <protection/>
    </xf>
    <xf numFmtId="0" fontId="5" fillId="0" borderId="0" xfId="55" applyFont="1">
      <alignment/>
      <protection/>
    </xf>
    <xf numFmtId="0" fontId="5" fillId="0" borderId="0" xfId="55" applyFont="1" applyBorder="1">
      <alignment/>
      <protection/>
    </xf>
    <xf numFmtId="0" fontId="48" fillId="0" borderId="0" xfId="57" applyFont="1">
      <alignment/>
      <protection/>
    </xf>
    <xf numFmtId="0" fontId="48" fillId="34" borderId="0" xfId="55" applyFont="1" applyFill="1">
      <alignment/>
      <protection/>
    </xf>
    <xf numFmtId="0" fontId="5" fillId="0" borderId="0" xfId="57" applyFont="1">
      <alignment/>
      <protection/>
    </xf>
    <xf numFmtId="0" fontId="29" fillId="0" borderId="0" xfId="55" applyFont="1">
      <alignment/>
      <protection/>
    </xf>
    <xf numFmtId="0" fontId="43" fillId="0" borderId="0" xfId="55" applyFont="1">
      <alignment/>
      <protection/>
    </xf>
    <xf numFmtId="0" fontId="29" fillId="0" borderId="0" xfId="55" applyFont="1" applyBorder="1" applyAlignment="1">
      <alignment/>
      <protection/>
    </xf>
    <xf numFmtId="0" fontId="29" fillId="0" borderId="0" xfId="55" applyFont="1" applyBorder="1">
      <alignment/>
      <protection/>
    </xf>
    <xf numFmtId="0" fontId="29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29" fillId="0" borderId="0" xfId="55" applyFont="1" applyBorder="1">
      <alignment/>
      <protection/>
    </xf>
    <xf numFmtId="0" fontId="0" fillId="0" borderId="0" xfId="55" applyFont="1">
      <alignment/>
      <protection/>
    </xf>
    <xf numFmtId="0" fontId="0" fillId="0" borderId="0" xfId="55" applyFont="1" applyAlignment="1">
      <alignment/>
      <protection/>
    </xf>
    <xf numFmtId="0" fontId="44" fillId="0" borderId="0" xfId="55" applyFont="1">
      <alignment/>
      <protection/>
    </xf>
    <xf numFmtId="0" fontId="43" fillId="0" borderId="0" xfId="55" applyAlignment="1">
      <alignment horizontal="centerContinuous"/>
      <protection/>
    </xf>
    <xf numFmtId="0" fontId="24" fillId="0" borderId="0" xfId="55" applyFont="1">
      <alignment/>
      <protection/>
    </xf>
    <xf numFmtId="0" fontId="48" fillId="0" borderId="0" xfId="55" applyFont="1">
      <alignment/>
      <protection/>
    </xf>
    <xf numFmtId="14" fontId="43" fillId="0" borderId="0" xfId="55" applyNumberFormat="1" applyAlignment="1">
      <alignment horizontal="centerContinuous"/>
      <protection/>
    </xf>
    <xf numFmtId="0" fontId="5" fillId="0" borderId="0" xfId="55" applyFont="1">
      <alignment/>
      <protection/>
    </xf>
    <xf numFmtId="0" fontId="24" fillId="34" borderId="0" xfId="55" applyFont="1" applyFill="1">
      <alignment/>
      <protection/>
    </xf>
    <xf numFmtId="0" fontId="49" fillId="0" borderId="0" xfId="55" applyFont="1">
      <alignment/>
      <protection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 horizontal="centerContinuous"/>
      <protection/>
    </xf>
    <xf numFmtId="0" fontId="29" fillId="0" borderId="0" xfId="55" applyFont="1" applyAlignment="1">
      <alignment/>
      <protection/>
    </xf>
    <xf numFmtId="0" fontId="0" fillId="0" borderId="0" xfId="55" applyFont="1">
      <alignment/>
      <protection/>
    </xf>
    <xf numFmtId="0" fontId="29" fillId="0" borderId="0" xfId="55" applyFont="1" applyAlignment="1">
      <alignment/>
      <protection/>
    </xf>
    <xf numFmtId="0" fontId="5" fillId="0" borderId="0" xfId="57" applyFont="1">
      <alignment/>
      <protection/>
    </xf>
    <xf numFmtId="0" fontId="5" fillId="0" borderId="0" xfId="55" applyFont="1" applyAlignment="1">
      <alignment/>
      <protection/>
    </xf>
    <xf numFmtId="0" fontId="4" fillId="0" borderId="0" xfId="55" applyFont="1" applyAlignment="1">
      <alignment/>
      <protection/>
    </xf>
    <xf numFmtId="0" fontId="24" fillId="0" borderId="0" xfId="57" applyFont="1">
      <alignment/>
      <protection/>
    </xf>
    <xf numFmtId="0" fontId="0" fillId="0" borderId="0" xfId="55" applyFont="1" applyFill="1">
      <alignment/>
      <protection/>
    </xf>
    <xf numFmtId="14" fontId="29" fillId="0" borderId="0" xfId="55" applyNumberFormat="1" applyFont="1">
      <alignment/>
      <protection/>
    </xf>
    <xf numFmtId="0" fontId="5" fillId="0" borderId="0" xfId="55" applyFont="1" applyFill="1" applyAlignment="1">
      <alignment/>
      <protection/>
    </xf>
    <xf numFmtId="0" fontId="29" fillId="0" borderId="0" xfId="55" applyFont="1" applyFill="1">
      <alignment/>
      <protection/>
    </xf>
    <xf numFmtId="0" fontId="43" fillId="0" borderId="0" xfId="55" applyFill="1">
      <alignment/>
      <protection/>
    </xf>
    <xf numFmtId="0" fontId="8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3" fillId="0" borderId="0" xfId="55" applyFont="1" applyFill="1">
      <alignment/>
      <protection/>
    </xf>
    <xf numFmtId="0" fontId="54" fillId="0" borderId="0" xfId="55" applyFont="1" applyAlignment="1">
      <alignment horizontal="right"/>
      <protection/>
    </xf>
    <xf numFmtId="0" fontId="29" fillId="0" borderId="0" xfId="55" applyFont="1" applyAlignment="1">
      <alignment horizontal="centerContinuous"/>
      <protection/>
    </xf>
    <xf numFmtId="0" fontId="24" fillId="0" borderId="0" xfId="55" applyFont="1" applyFill="1" applyBorder="1">
      <alignment/>
      <protection/>
    </xf>
    <xf numFmtId="0" fontId="48" fillId="0" borderId="0" xfId="55" applyFont="1">
      <alignment/>
      <protection/>
    </xf>
    <xf numFmtId="0" fontId="55" fillId="0" borderId="0" xfId="55" applyFont="1">
      <alignment/>
      <protection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29" fillId="0" borderId="0" xfId="58" applyFont="1">
      <alignment/>
      <protection/>
    </xf>
    <xf numFmtId="0" fontId="29" fillId="0" borderId="0" xfId="56" applyFont="1">
      <alignment/>
      <protection/>
    </xf>
    <xf numFmtId="0" fontId="56" fillId="0" borderId="0" xfId="55" applyFont="1">
      <alignment/>
      <protection/>
    </xf>
    <xf numFmtId="0" fontId="29" fillId="34" borderId="0" xfId="55" applyFont="1" applyFill="1">
      <alignment/>
      <protection/>
    </xf>
    <xf numFmtId="0" fontId="23" fillId="0" borderId="0" xfId="55" applyFont="1">
      <alignment/>
      <protection/>
    </xf>
    <xf numFmtId="0" fontId="23" fillId="0" borderId="0" xfId="55" applyFont="1" applyAlignment="1">
      <alignment horizontal="centerContinuous"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>
      <alignment/>
      <protection/>
    </xf>
    <xf numFmtId="0" fontId="57" fillId="0" borderId="0" xfId="55" applyFont="1">
      <alignment/>
      <protection/>
    </xf>
    <xf numFmtId="0" fontId="57" fillId="0" borderId="0" xfId="55" applyFont="1" applyAlignment="1">
      <alignment/>
      <protection/>
    </xf>
    <xf numFmtId="0" fontId="23" fillId="0" borderId="0" xfId="55" applyFont="1" applyAlignment="1">
      <alignment/>
      <protection/>
    </xf>
    <xf numFmtId="0" fontId="3" fillId="0" borderId="0" xfId="54" applyFont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4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37" borderId="140" xfId="0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 applyProtection="1">
      <alignment horizontal="center"/>
      <protection/>
    </xf>
    <xf numFmtId="0" fontId="5" fillId="37" borderId="118" xfId="0" applyFont="1" applyFill="1" applyBorder="1" applyAlignment="1" applyProtection="1">
      <alignment horizontal="center"/>
      <protection locked="0"/>
    </xf>
    <xf numFmtId="0" fontId="5" fillId="37" borderId="141" xfId="0" applyFont="1" applyFill="1" applyBorder="1" applyAlignment="1" applyProtection="1">
      <alignment horizontal="center"/>
      <protection locked="0"/>
    </xf>
    <xf numFmtId="0" fontId="5" fillId="37" borderId="142" xfId="0" applyFont="1" applyFill="1" applyBorder="1" applyAlignment="1" applyProtection="1">
      <alignment horizontal="center"/>
      <protection locked="0"/>
    </xf>
    <xf numFmtId="1" fontId="0" fillId="0" borderId="28" xfId="0" applyNumberFormat="1" applyFont="1" applyBorder="1" applyAlignment="1">
      <alignment horizontal="center"/>
    </xf>
    <xf numFmtId="0" fontId="24" fillId="0" borderId="0" xfId="58" applyFont="1">
      <alignment/>
      <protection/>
    </xf>
    <xf numFmtId="0" fontId="45" fillId="0" borderId="0" xfId="55" applyFont="1" applyBorder="1" applyAlignment="1">
      <alignment horizontal="center"/>
      <protection/>
    </xf>
    <xf numFmtId="0" fontId="48" fillId="0" borderId="0" xfId="57" applyFont="1" applyFill="1">
      <alignment/>
      <protection/>
    </xf>
    <xf numFmtId="0" fontId="58" fillId="0" borderId="0" xfId="57" applyFont="1">
      <alignment/>
      <protection/>
    </xf>
    <xf numFmtId="0" fontId="31" fillId="0" borderId="0" xfId="57" applyFont="1">
      <alignment/>
      <protection/>
    </xf>
    <xf numFmtId="0" fontId="31" fillId="0" borderId="0" xfId="55" applyFont="1">
      <alignment/>
      <protection/>
    </xf>
    <xf numFmtId="0" fontId="29" fillId="0" borderId="0" xfId="0" applyFont="1" applyAlignment="1">
      <alignment/>
    </xf>
    <xf numFmtId="0" fontId="58" fillId="0" borderId="0" xfId="55" applyFont="1">
      <alignment/>
      <protection/>
    </xf>
    <xf numFmtId="0" fontId="59" fillId="0" borderId="0" xfId="55" applyFont="1">
      <alignment/>
      <protection/>
    </xf>
    <xf numFmtId="0" fontId="29" fillId="0" borderId="0" xfId="57" applyFont="1">
      <alignment/>
      <protection/>
    </xf>
    <xf numFmtId="0" fontId="21" fillId="0" borderId="0" xfId="55" applyFont="1" applyFill="1" applyBorder="1" applyAlignment="1">
      <alignment horizontal="center"/>
      <protection/>
    </xf>
    <xf numFmtId="0" fontId="52" fillId="0" borderId="0" xfId="55" applyFont="1" applyFill="1" applyBorder="1" applyAlignment="1">
      <alignment horizontal="centerContinuous"/>
      <protection/>
    </xf>
    <xf numFmtId="0" fontId="43" fillId="0" borderId="0" xfId="55" applyBorder="1" applyAlignment="1">
      <alignment horizontal="centerContinuous"/>
      <protection/>
    </xf>
    <xf numFmtId="0" fontId="5" fillId="0" borderId="0" xfId="58" applyFont="1">
      <alignment/>
      <protection/>
    </xf>
    <xf numFmtId="0" fontId="29" fillId="0" borderId="0" xfId="58" applyFont="1">
      <alignment/>
      <protection/>
    </xf>
    <xf numFmtId="20" fontId="29" fillId="0" borderId="0" xfId="55" applyNumberFormat="1" applyFo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29" fillId="0" borderId="0" xfId="55" applyFont="1" applyFill="1" applyBorder="1" applyAlignment="1">
      <alignment horizontal="centerContinuous"/>
      <protection/>
    </xf>
    <xf numFmtId="0" fontId="8" fillId="0" borderId="0" xfId="55" applyFont="1">
      <alignment/>
      <protection/>
    </xf>
    <xf numFmtId="1" fontId="0" fillId="0" borderId="18" xfId="0" applyNumberFormat="1" applyFont="1" applyBorder="1" applyAlignment="1">
      <alignment horizontal="center"/>
    </xf>
    <xf numFmtId="1" fontId="0" fillId="0" borderId="13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24" fillId="0" borderId="0" xfId="56" applyFont="1">
      <alignment/>
      <protection/>
    </xf>
    <xf numFmtId="0" fontId="3" fillId="0" borderId="130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7" xfId="55" applyFont="1" applyFill="1" applyBorder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0" fontId="45" fillId="0" borderId="0" xfId="55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1" fillId="0" borderId="130" xfId="55" applyFont="1" applyFill="1" applyBorder="1" applyAlignment="1">
      <alignment horizontal="center"/>
      <protection/>
    </xf>
    <xf numFmtId="0" fontId="21" fillId="0" borderId="24" xfId="55" applyFont="1" applyFill="1" applyBorder="1" applyAlignment="1">
      <alignment horizontal="center"/>
      <protection/>
    </xf>
    <xf numFmtId="0" fontId="21" fillId="0" borderId="27" xfId="55" applyFont="1" applyFill="1" applyBorder="1" applyAlignment="1">
      <alignment horizontal="center"/>
      <protection/>
    </xf>
    <xf numFmtId="174" fontId="29" fillId="0" borderId="0" xfId="55" applyNumberFormat="1" applyFont="1" applyAlignment="1" quotePrefix="1">
      <alignment horizontal="left"/>
      <protection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26" fillId="0" borderId="14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6" fillId="37" borderId="144" xfId="0" applyFont="1" applyFill="1" applyBorder="1" applyAlignment="1" applyProtection="1">
      <alignment horizontal="center"/>
      <protection locked="0"/>
    </xf>
    <xf numFmtId="0" fontId="26" fillId="37" borderId="33" xfId="0" applyFont="1" applyFill="1" applyBorder="1" applyAlignment="1" applyProtection="1">
      <alignment horizontal="center"/>
      <protection locked="0"/>
    </xf>
    <xf numFmtId="0" fontId="26" fillId="37" borderId="132" xfId="0" applyFont="1" applyFill="1" applyBorder="1" applyAlignment="1" applyProtection="1">
      <alignment horizontal="center"/>
      <protection locked="0"/>
    </xf>
    <xf numFmtId="0" fontId="26" fillId="0" borderId="104" xfId="0" applyFont="1" applyFill="1" applyBorder="1" applyAlignment="1" applyProtection="1">
      <alignment horizontal="center"/>
      <protection/>
    </xf>
    <xf numFmtId="0" fontId="26" fillId="0" borderId="97" xfId="0" applyFont="1" applyFill="1" applyBorder="1" applyAlignment="1" applyProtection="1">
      <alignment horizontal="center"/>
      <protection/>
    </xf>
    <xf numFmtId="0" fontId="26" fillId="0" borderId="105" xfId="0" applyFont="1" applyFill="1" applyBorder="1" applyAlignment="1" applyProtection="1">
      <alignment horizontal="center"/>
      <protection/>
    </xf>
    <xf numFmtId="0" fontId="26" fillId="37" borderId="20" xfId="0" applyFont="1" applyFill="1" applyBorder="1" applyAlignment="1" applyProtection="1">
      <alignment horizontal="center"/>
      <protection locked="0"/>
    </xf>
    <xf numFmtId="0" fontId="26" fillId="37" borderId="21" xfId="0" applyFont="1" applyFill="1" applyBorder="1" applyAlignment="1" applyProtection="1">
      <alignment horizontal="center"/>
      <protection locked="0"/>
    </xf>
    <xf numFmtId="0" fontId="26" fillId="37" borderId="22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6" fillId="37" borderId="28" xfId="0" applyFont="1" applyFill="1" applyBorder="1" applyAlignment="1" applyProtection="1">
      <alignment horizontal="center"/>
      <protection locked="0"/>
    </xf>
    <xf numFmtId="0" fontId="26" fillId="37" borderId="29" xfId="0" applyFont="1" applyFill="1" applyBorder="1" applyAlignment="1" applyProtection="1">
      <alignment horizontal="center"/>
      <protection locked="0"/>
    </xf>
    <xf numFmtId="0" fontId="26" fillId="37" borderId="31" xfId="0" applyFont="1" applyFill="1" applyBorder="1" applyAlignment="1" applyProtection="1">
      <alignment horizontal="center"/>
      <protection locked="0"/>
    </xf>
    <xf numFmtId="0" fontId="26" fillId="0" borderId="145" xfId="0" applyFont="1" applyBorder="1" applyAlignment="1" applyProtection="1">
      <alignment horizontal="left" vertical="center"/>
      <protection/>
    </xf>
    <xf numFmtId="0" fontId="26" fillId="0" borderId="146" xfId="0" applyFont="1" applyBorder="1" applyAlignment="1" applyProtection="1">
      <alignment horizontal="left" vertical="center"/>
      <protection/>
    </xf>
    <xf numFmtId="0" fontId="26" fillId="0" borderId="147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19" fillId="37" borderId="0" xfId="0" applyFont="1" applyFill="1" applyAlignment="1" applyProtection="1">
      <alignment horizontal="center"/>
      <protection locked="0"/>
    </xf>
    <xf numFmtId="0" fontId="37" fillId="0" borderId="0" xfId="0" applyFont="1" applyFill="1" applyAlignment="1" applyProtection="1">
      <alignment horizontal="center"/>
      <protection/>
    </xf>
    <xf numFmtId="0" fontId="4" fillId="37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center"/>
    </xf>
    <xf numFmtId="1" fontId="1" fillId="0" borderId="136" xfId="0" applyNumberFormat="1" applyFont="1" applyBorder="1" applyAlignment="1" applyProtection="1">
      <alignment horizontal="center" vertical="center"/>
      <protection/>
    </xf>
    <xf numFmtId="1" fontId="1" fillId="0" borderId="99" xfId="0" applyNumberFormat="1" applyFont="1" applyBorder="1" applyAlignment="1" applyProtection="1">
      <alignment horizontal="center" vertical="center"/>
      <protection/>
    </xf>
    <xf numFmtId="1" fontId="1" fillId="0" borderId="137" xfId="0" applyNumberFormat="1" applyFont="1" applyBorder="1" applyAlignment="1" applyProtection="1">
      <alignment horizontal="center" vertical="center"/>
      <protection/>
    </xf>
    <xf numFmtId="1" fontId="1" fillId="0" borderId="140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1" fontId="1" fillId="0" borderId="142" xfId="0" applyNumberFormat="1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" fontId="1" fillId="36" borderId="88" xfId="0" applyNumberFormat="1" applyFont="1" applyFill="1" applyBorder="1" applyAlignment="1" applyProtection="1">
      <alignment horizontal="center" vertical="center"/>
      <protection/>
    </xf>
    <xf numFmtId="1" fontId="1" fillId="36" borderId="98" xfId="0" applyNumberFormat="1" applyFont="1" applyFill="1" applyBorder="1" applyAlignment="1" applyProtection="1">
      <alignment horizontal="center" vertical="center"/>
      <protection/>
    </xf>
    <xf numFmtId="0" fontId="5" fillId="0" borderId="136" xfId="0" applyFont="1" applyBorder="1" applyAlignment="1" applyProtection="1">
      <alignment horizontal="center"/>
      <protection/>
    </xf>
    <xf numFmtId="0" fontId="5" fillId="0" borderId="99" xfId="0" applyFont="1" applyBorder="1" applyAlignment="1" applyProtection="1">
      <alignment horizontal="center"/>
      <protection/>
    </xf>
    <xf numFmtId="0" fontId="5" fillId="0" borderId="137" xfId="0" applyFont="1" applyBorder="1" applyAlignment="1" applyProtection="1">
      <alignment horizontal="center"/>
      <protection/>
    </xf>
    <xf numFmtId="1" fontId="5" fillId="0" borderId="88" xfId="0" applyNumberFormat="1" applyFont="1" applyBorder="1" applyAlignment="1" applyProtection="1">
      <alignment horizontal="center" vertical="center"/>
      <protection/>
    </xf>
    <xf numFmtId="1" fontId="5" fillId="0" borderId="98" xfId="0" applyNumberFormat="1" applyFont="1" applyBorder="1" applyAlignment="1" applyProtection="1">
      <alignment horizontal="center" vertical="center"/>
      <protection/>
    </xf>
    <xf numFmtId="0" fontId="5" fillId="0" borderId="88" xfId="0" applyFont="1" applyBorder="1" applyAlignment="1" applyProtection="1">
      <alignment horizontal="center" vertical="center"/>
      <protection/>
    </xf>
    <xf numFmtId="0" fontId="5" fillId="0" borderId="98" xfId="0" applyFont="1" applyBorder="1" applyAlignment="1" applyProtection="1">
      <alignment horizontal="center" vertical="center"/>
      <protection/>
    </xf>
    <xf numFmtId="0" fontId="1" fillId="37" borderId="70" xfId="0" applyFont="1" applyFill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/>
    </xf>
    <xf numFmtId="0" fontId="5" fillId="0" borderId="95" xfId="0" applyFont="1" applyBorder="1" applyAlignment="1" applyProtection="1">
      <alignment horizontal="center" vertical="center"/>
      <protection/>
    </xf>
    <xf numFmtId="0" fontId="5" fillId="0" borderId="96" xfId="0" applyFont="1" applyBorder="1" applyAlignment="1" applyProtection="1">
      <alignment horizontal="center" vertical="center"/>
      <protection/>
    </xf>
    <xf numFmtId="0" fontId="5" fillId="0" borderId="136" xfId="0" applyFont="1" applyBorder="1" applyAlignment="1" applyProtection="1">
      <alignment horizontal="center" vertical="center"/>
      <protection/>
    </xf>
    <xf numFmtId="0" fontId="5" fillId="0" borderId="140" xfId="0" applyFont="1" applyBorder="1" applyAlignment="1" applyProtection="1">
      <alignment horizontal="center" vertical="center"/>
      <protection/>
    </xf>
    <xf numFmtId="0" fontId="5" fillId="0" borderId="137" xfId="0" applyFont="1" applyBorder="1" applyAlignment="1" applyProtection="1">
      <alignment horizontal="center" vertical="center"/>
      <protection/>
    </xf>
    <xf numFmtId="0" fontId="5" fillId="0" borderId="142" xfId="0" applyFont="1" applyBorder="1" applyAlignment="1" applyProtection="1">
      <alignment horizontal="center" vertical="center"/>
      <protection/>
    </xf>
    <xf numFmtId="0" fontId="1" fillId="0" borderId="103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94" xfId="0" applyFont="1" applyBorder="1" applyAlignment="1" applyProtection="1">
      <alignment horizontal="center"/>
      <protection/>
    </xf>
    <xf numFmtId="0" fontId="5" fillId="0" borderId="95" xfId="0" applyFont="1" applyBorder="1" applyAlignment="1" applyProtection="1">
      <alignment horizontal="center"/>
      <protection/>
    </xf>
    <xf numFmtId="0" fontId="5" fillId="0" borderId="96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37" borderId="7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0" fontId="28" fillId="0" borderId="0" xfId="0" applyNumberFormat="1" applyFont="1" applyAlignment="1" applyProtection="1">
      <alignment horizontal="left" vertical="center"/>
      <protection/>
    </xf>
    <xf numFmtId="0" fontId="5" fillId="0" borderId="148" xfId="0" applyFont="1" applyBorder="1" applyAlignment="1" applyProtection="1">
      <alignment horizontal="center"/>
      <protection/>
    </xf>
    <xf numFmtId="0" fontId="5" fillId="0" borderId="149" xfId="0" applyFont="1" applyBorder="1" applyAlignment="1" applyProtection="1">
      <alignment horizontal="center"/>
      <protection/>
    </xf>
    <xf numFmtId="0" fontId="5" fillId="0" borderId="150" xfId="0" applyFont="1" applyBorder="1" applyAlignment="1" applyProtection="1">
      <alignment horizontal="center"/>
      <protection/>
    </xf>
    <xf numFmtId="0" fontId="5" fillId="0" borderId="14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4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14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37" borderId="88" xfId="0" applyFont="1" applyFill="1" applyBorder="1" applyAlignment="1" applyProtection="1">
      <alignment horizontal="center" vertical="center"/>
      <protection locked="0"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135" xfId="0" applyFont="1" applyFill="1" applyBorder="1" applyAlignment="1" applyProtection="1">
      <alignment horizontal="center" vertical="center"/>
      <protection/>
    </xf>
    <xf numFmtId="0" fontId="1" fillId="0" borderId="137" xfId="0" applyFont="1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 vertical="center"/>
      <protection/>
    </xf>
    <xf numFmtId="0" fontId="1" fillId="37" borderId="135" xfId="0" applyFont="1" applyFill="1" applyBorder="1" applyAlignment="1" applyProtection="1">
      <alignment horizontal="center" vertical="center"/>
      <protection locked="0"/>
    </xf>
    <xf numFmtId="1" fontId="1" fillId="0" borderId="66" xfId="0" applyNumberFormat="1" applyFont="1" applyFill="1" applyBorder="1" applyAlignment="1" applyProtection="1">
      <alignment horizontal="center"/>
      <protection/>
    </xf>
    <xf numFmtId="1" fontId="1" fillId="0" borderId="55" xfId="0" applyNumberFormat="1" applyFont="1" applyFill="1" applyBorder="1" applyAlignment="1" applyProtection="1">
      <alignment horizontal="center"/>
      <protection/>
    </xf>
    <xf numFmtId="1" fontId="1" fillId="0" borderId="67" xfId="0" applyNumberFormat="1" applyFont="1" applyFill="1" applyBorder="1" applyAlignment="1" applyProtection="1">
      <alignment horizontal="center"/>
      <protection/>
    </xf>
    <xf numFmtId="1" fontId="1" fillId="36" borderId="93" xfId="0" applyNumberFormat="1" applyFont="1" applyFill="1" applyBorder="1" applyAlignment="1" applyProtection="1">
      <alignment horizontal="center" vertical="center"/>
      <protection/>
    </xf>
    <xf numFmtId="1" fontId="1" fillId="0" borderId="136" xfId="0" applyNumberFormat="1" applyFont="1" applyFill="1" applyBorder="1" applyAlignment="1" applyProtection="1">
      <alignment horizontal="center" vertical="center"/>
      <protection/>
    </xf>
    <xf numFmtId="1" fontId="1" fillId="0" borderId="99" xfId="0" applyNumberFormat="1" applyFont="1" applyFill="1" applyBorder="1" applyAlignment="1" applyProtection="1">
      <alignment horizontal="center" vertical="center"/>
      <protection/>
    </xf>
    <xf numFmtId="1" fontId="1" fillId="0" borderId="137" xfId="0" applyNumberFormat="1" applyFont="1" applyFill="1" applyBorder="1" applyAlignment="1" applyProtection="1">
      <alignment horizontal="center" vertical="center"/>
      <protection/>
    </xf>
    <xf numFmtId="1" fontId="1" fillId="0" borderId="151" xfId="0" applyNumberFormat="1" applyFont="1" applyFill="1" applyBorder="1" applyAlignment="1" applyProtection="1">
      <alignment horizontal="center" vertical="center"/>
      <protection/>
    </xf>
    <xf numFmtId="1" fontId="1" fillId="0" borderId="52" xfId="0" applyNumberFormat="1" applyFont="1" applyFill="1" applyBorder="1" applyAlignment="1" applyProtection="1">
      <alignment horizontal="center" vertical="center"/>
      <protection/>
    </xf>
    <xf numFmtId="1" fontId="1" fillId="0" borderId="152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/>
      <protection/>
    </xf>
    <xf numFmtId="0" fontId="5" fillId="0" borderId="136" xfId="0" applyFont="1" applyFill="1" applyBorder="1" applyAlignment="1" applyProtection="1">
      <alignment horizontal="center" vertical="center"/>
      <protection/>
    </xf>
    <xf numFmtId="0" fontId="5" fillId="0" borderId="99" xfId="0" applyFont="1" applyFill="1" applyBorder="1" applyAlignment="1" applyProtection="1">
      <alignment horizontal="center" vertical="center"/>
      <protection/>
    </xf>
    <xf numFmtId="0" fontId="5" fillId="0" borderId="137" xfId="0" applyFont="1" applyFill="1" applyBorder="1" applyAlignment="1" applyProtection="1">
      <alignment horizontal="center" vertical="center"/>
      <protection/>
    </xf>
    <xf numFmtId="0" fontId="5" fillId="0" borderId="1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152" xfId="0" applyFont="1" applyFill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152" xfId="0" applyFont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/>
    </xf>
    <xf numFmtId="0" fontId="0" fillId="0" borderId="67" xfId="0" applyFill="1" applyBorder="1" applyAlignment="1" applyProtection="1">
      <alignment horizontal="center"/>
      <protection/>
    </xf>
    <xf numFmtId="0" fontId="1" fillId="37" borderId="87" xfId="0" applyFont="1" applyFill="1" applyBorder="1" applyAlignment="1" applyProtection="1">
      <alignment horizontal="center"/>
      <protection locked="0"/>
    </xf>
    <xf numFmtId="0" fontId="1" fillId="37" borderId="58" xfId="0" applyFont="1" applyFill="1" applyBorder="1" applyAlignment="1" applyProtection="1">
      <alignment horizontal="center"/>
      <protection locked="0"/>
    </xf>
    <xf numFmtId="0" fontId="1" fillId="37" borderId="103" xfId="0" applyFont="1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1" fillId="0" borderId="103" xfId="0" applyFont="1" applyFill="1" applyBorder="1" applyAlignment="1" applyProtection="1">
      <alignment horizontal="center"/>
      <protection/>
    </xf>
    <xf numFmtId="1" fontId="5" fillId="0" borderId="93" xfId="0" applyNumberFormat="1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5" fillId="37" borderId="88" xfId="0" applyFont="1" applyFill="1" applyBorder="1" applyAlignment="1" applyProtection="1">
      <alignment horizontal="center" vertical="center"/>
      <protection locked="0"/>
    </xf>
    <xf numFmtId="0" fontId="5" fillId="37" borderId="93" xfId="0" applyFont="1" applyFill="1" applyBorder="1" applyAlignment="1" applyProtection="1">
      <alignment horizontal="center" vertical="center"/>
      <protection locked="0"/>
    </xf>
    <xf numFmtId="0" fontId="5" fillId="0" borderId="93" xfId="0" applyFont="1" applyBorder="1" applyAlignment="1" applyProtection="1">
      <alignment horizontal="center" vertical="center"/>
      <protection/>
    </xf>
    <xf numFmtId="0" fontId="5" fillId="0" borderId="151" xfId="0" applyFont="1" applyBorder="1" applyAlignment="1" applyProtection="1">
      <alignment horizontal="center" vertical="center"/>
      <protection/>
    </xf>
    <xf numFmtId="0" fontId="5" fillId="0" borderId="88" xfId="0" applyFont="1" applyFill="1" applyBorder="1" applyAlignment="1" applyProtection="1">
      <alignment horizontal="center" vertical="center"/>
      <protection/>
    </xf>
    <xf numFmtId="0" fontId="5" fillId="0" borderId="93" xfId="0" applyFont="1" applyFill="1" applyBorder="1" applyAlignment="1" applyProtection="1">
      <alignment horizontal="center" vertical="center"/>
      <protection/>
    </xf>
    <xf numFmtId="166" fontId="5" fillId="37" borderId="88" xfId="0" applyNumberFormat="1" applyFont="1" applyFill="1" applyBorder="1" applyAlignment="1" applyProtection="1">
      <alignment horizontal="center" vertical="center"/>
      <protection locked="0"/>
    </xf>
    <xf numFmtId="166" fontId="5" fillId="37" borderId="93" xfId="0" applyNumberFormat="1" applyFont="1" applyFill="1" applyBorder="1" applyAlignment="1" applyProtection="1">
      <alignment horizontal="center" vertical="center"/>
      <protection locked="0"/>
    </xf>
    <xf numFmtId="168" fontId="28" fillId="0" borderId="0" xfId="0" applyNumberFormat="1" applyFont="1" applyAlignment="1" applyProtection="1">
      <alignment horizontal="left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144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132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31" fillId="0" borderId="153" xfId="0" applyFont="1" applyBorder="1" applyAlignment="1" applyProtection="1">
      <alignment horizontal="center" textRotation="90"/>
      <protection/>
    </xf>
    <xf numFmtId="0" fontId="31" fillId="0" borderId="50" xfId="0" applyFont="1" applyBorder="1" applyAlignment="1" applyProtection="1">
      <alignment horizontal="center" textRotation="90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104" xfId="0" applyFont="1" applyBorder="1" applyAlignment="1" applyProtection="1">
      <alignment horizontal="center" vertical="center"/>
      <protection/>
    </xf>
    <xf numFmtId="0" fontId="4" fillId="0" borderId="97" xfId="0" applyFont="1" applyBorder="1" applyAlignment="1" applyProtection="1">
      <alignment horizontal="center" vertical="center"/>
      <protection/>
    </xf>
    <xf numFmtId="0" fontId="4" fillId="0" borderId="105" xfId="0" applyFont="1" applyBorder="1" applyAlignment="1" applyProtection="1">
      <alignment horizontal="center" vertical="center"/>
      <protection/>
    </xf>
    <xf numFmtId="0" fontId="1" fillId="0" borderId="154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71" fontId="5" fillId="0" borderId="155" xfId="0" applyNumberFormat="1" applyFont="1" applyBorder="1" applyAlignment="1" applyProtection="1">
      <alignment horizontal="center"/>
      <protection/>
    </xf>
    <xf numFmtId="171" fontId="5" fillId="0" borderId="106" xfId="0" applyNumberFormat="1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/>
      <protection/>
    </xf>
    <xf numFmtId="0" fontId="5" fillId="0" borderId="156" xfId="0" applyFont="1" applyBorder="1" applyAlignment="1" applyProtection="1">
      <alignment horizontal="left"/>
      <protection/>
    </xf>
    <xf numFmtId="0" fontId="0" fillId="0" borderId="0" xfId="0" applyAlignment="1" applyProtection="1">
      <alignment vertical="center" textRotation="90"/>
      <protection/>
    </xf>
    <xf numFmtId="0" fontId="0" fillId="0" borderId="0" xfId="0" applyBorder="1" applyAlignment="1" applyProtection="1">
      <alignment vertical="center" textRotation="90"/>
      <protection/>
    </xf>
    <xf numFmtId="0" fontId="5" fillId="0" borderId="46" xfId="0" applyFont="1" applyBorder="1" applyAlignment="1" applyProtection="1">
      <alignment horizontal="left"/>
      <protection/>
    </xf>
    <xf numFmtId="0" fontId="5" fillId="0" borderId="155" xfId="0" applyFont="1" applyBorder="1" applyAlignment="1" applyProtection="1">
      <alignment horizontal="center"/>
      <protection/>
    </xf>
    <xf numFmtId="0" fontId="5" fillId="0" borderId="106" xfId="0" applyFont="1" applyBorder="1" applyAlignment="1" applyProtection="1">
      <alignment horizontal="center"/>
      <protection/>
    </xf>
    <xf numFmtId="0" fontId="5" fillId="0" borderId="129" xfId="0" applyFont="1" applyBorder="1" applyAlignment="1" applyProtection="1">
      <alignment horizontal="center"/>
      <protection/>
    </xf>
    <xf numFmtId="0" fontId="5" fillId="0" borderId="24" xfId="0" applyNumberFormat="1" applyFont="1" applyBorder="1" applyAlignment="1" applyProtection="1">
      <alignment horizontal="center"/>
      <protection/>
    </xf>
    <xf numFmtId="166" fontId="5" fillId="0" borderId="130" xfId="0" applyNumberFormat="1" applyFont="1" applyBorder="1" applyAlignment="1" applyProtection="1">
      <alignment horizontal="center"/>
      <protection/>
    </xf>
    <xf numFmtId="166" fontId="5" fillId="0" borderId="24" xfId="0" applyNumberFormat="1" applyFont="1" applyBorder="1" applyAlignment="1" applyProtection="1">
      <alignment horizontal="center"/>
      <protection/>
    </xf>
    <xf numFmtId="0" fontId="5" fillId="0" borderId="130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49" xfId="0" applyFont="1" applyBorder="1" applyAlignment="1" applyProtection="1">
      <alignment horizontal="left"/>
      <protection/>
    </xf>
    <xf numFmtId="0" fontId="5" fillId="0" borderId="143" xfId="0" applyFont="1" applyBorder="1" applyAlignment="1" applyProtection="1">
      <alignment horizontal="left"/>
      <protection/>
    </xf>
    <xf numFmtId="0" fontId="5" fillId="0" borderId="64" xfId="0" applyNumberFormat="1" applyFont="1" applyBorder="1" applyAlignment="1" applyProtection="1">
      <alignment horizontal="center"/>
      <protection/>
    </xf>
    <xf numFmtId="0" fontId="5" fillId="0" borderId="33" xfId="0" applyNumberFormat="1" applyFont="1" applyBorder="1" applyAlignment="1" applyProtection="1">
      <alignment horizontal="center"/>
      <protection/>
    </xf>
    <xf numFmtId="0" fontId="5" fillId="0" borderId="130" xfId="0" applyNumberFormat="1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40" fillId="34" borderId="154" xfId="0" applyFont="1" applyFill="1" applyBorder="1" applyAlignment="1" applyProtection="1">
      <alignment horizontal="center" vertical="center"/>
      <protection locked="0"/>
    </xf>
    <xf numFmtId="0" fontId="40" fillId="34" borderId="54" xfId="0" applyFont="1" applyFill="1" applyBorder="1" applyAlignment="1" applyProtection="1">
      <alignment horizontal="center" vertical="center"/>
      <protection locked="0"/>
    </xf>
    <xf numFmtId="0" fontId="40" fillId="34" borderId="18" xfId="0" applyFont="1" applyFill="1" applyBorder="1" applyAlignment="1" applyProtection="1">
      <alignment horizontal="center" vertical="center"/>
      <protection locked="0"/>
    </xf>
    <xf numFmtId="0" fontId="40" fillId="34" borderId="157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right" vertical="center"/>
      <protection/>
    </xf>
    <xf numFmtId="0" fontId="1" fillId="0" borderId="31" xfId="0" applyFont="1" applyBorder="1" applyAlignment="1" applyProtection="1">
      <alignment horizontal="right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103" xfId="0" applyFont="1" applyBorder="1" applyAlignment="1" applyProtection="1">
      <alignment horizontal="center"/>
      <protection locked="0"/>
    </xf>
    <xf numFmtId="0" fontId="4" fillId="0" borderId="87" xfId="0" applyFont="1" applyBorder="1" applyAlignment="1" applyProtection="1">
      <alignment horizontal="center"/>
      <protection locked="0"/>
    </xf>
    <xf numFmtId="0" fontId="4" fillId="0" borderId="158" xfId="0" applyFont="1" applyBorder="1" applyAlignment="1" applyProtection="1">
      <alignment horizontal="center"/>
      <protection locked="0"/>
    </xf>
    <xf numFmtId="20" fontId="4" fillId="0" borderId="159" xfId="0" applyNumberFormat="1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1" fillId="34" borderId="88" xfId="0" applyFont="1" applyFill="1" applyBorder="1" applyAlignment="1" applyProtection="1">
      <alignment horizontal="center" vertical="center" textRotation="90"/>
      <protection locked="0"/>
    </xf>
    <xf numFmtId="0" fontId="1" fillId="34" borderId="98" xfId="0" applyFont="1" applyFill="1" applyBorder="1" applyAlignment="1" applyProtection="1">
      <alignment horizontal="center" vertical="center" textRotation="90"/>
      <protection locked="0"/>
    </xf>
    <xf numFmtId="0" fontId="1" fillId="0" borderId="160" xfId="0" applyFont="1" applyBorder="1" applyAlignment="1" applyProtection="1">
      <alignment horizontal="center" vertical="center"/>
      <protection/>
    </xf>
    <xf numFmtId="0" fontId="1" fillId="0" borderId="87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103" xfId="0" applyFont="1" applyBorder="1" applyAlignment="1" applyProtection="1">
      <alignment horizontal="center" vertical="center"/>
      <protection/>
    </xf>
    <xf numFmtId="0" fontId="4" fillId="0" borderId="159" xfId="0" applyFont="1" applyBorder="1" applyAlignment="1" applyProtection="1">
      <alignment horizontal="center"/>
      <protection locked="0"/>
    </xf>
    <xf numFmtId="0" fontId="4" fillId="0" borderId="121" xfId="0" applyFont="1" applyBorder="1" applyAlignment="1" applyProtection="1">
      <alignment horizontal="center"/>
      <protection locked="0"/>
    </xf>
    <xf numFmtId="0" fontId="2" fillId="0" borderId="99" xfId="0" applyFont="1" applyBorder="1" applyAlignment="1" applyProtection="1">
      <alignment horizontal="left" vertical="center"/>
      <protection locked="0"/>
    </xf>
    <xf numFmtId="0" fontId="2" fillId="0" borderId="137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1" xfId="0" applyFont="1" applyBorder="1" applyAlignment="1" applyProtection="1">
      <alignment horizontal="left" vertical="center"/>
      <protection locked="0"/>
    </xf>
    <xf numFmtId="0" fontId="4" fillId="0" borderId="136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4" fillId="0" borderId="16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/>
    </xf>
    <xf numFmtId="0" fontId="0" fillId="41" borderId="18" xfId="0" applyFont="1" applyFill="1" applyBorder="1" applyAlignment="1">
      <alignment horizontal="center"/>
    </xf>
    <xf numFmtId="0" fontId="0" fillId="41" borderId="14" xfId="0" applyFont="1" applyFill="1" applyBorder="1" applyAlignment="1">
      <alignment horizontal="center"/>
    </xf>
    <xf numFmtId="0" fontId="0" fillId="41" borderId="19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0" fontId="0" fillId="41" borderId="32" xfId="0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39" borderId="47" xfId="0" applyFont="1" applyFill="1" applyBorder="1" applyAlignment="1">
      <alignment horizontal="center"/>
    </xf>
    <xf numFmtId="0" fontId="0" fillId="39" borderId="48" xfId="0" applyFont="1" applyFill="1" applyBorder="1" applyAlignment="1">
      <alignment horizontal="center"/>
    </xf>
    <xf numFmtId="0" fontId="0" fillId="39" borderId="39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49" xfId="0" applyFont="1" applyFill="1" applyBorder="1" applyAlignment="1">
      <alignment horizontal="center"/>
    </xf>
    <xf numFmtId="0" fontId="0" fillId="39" borderId="45" xfId="0" applyFont="1" applyFill="1" applyBorder="1" applyAlignment="1">
      <alignment horizontal="center"/>
    </xf>
    <xf numFmtId="0" fontId="0" fillId="39" borderId="46" xfId="0" applyFont="1" applyFill="1" applyBorder="1" applyAlignment="1">
      <alignment horizontal="center"/>
    </xf>
    <xf numFmtId="0" fontId="0" fillId="39" borderId="4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9" fillId="0" borderId="13" xfId="0" applyFont="1" applyBorder="1" applyAlignment="1">
      <alignment horizontal="center"/>
    </xf>
    <xf numFmtId="0" fontId="0" fillId="39" borderId="3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4" fontId="1" fillId="0" borderId="17" xfId="65" applyFont="1" applyBorder="1" applyAlignment="1">
      <alignment horizontal="center" vertical="center" wrapText="1"/>
    </xf>
    <xf numFmtId="44" fontId="1" fillId="0" borderId="18" xfId="65" applyFont="1" applyBorder="1" applyAlignment="1">
      <alignment horizontal="center" vertical="center" wrapText="1"/>
    </xf>
    <xf numFmtId="44" fontId="1" fillId="0" borderId="14" xfId="65" applyFont="1" applyBorder="1" applyAlignment="1">
      <alignment horizontal="center" vertical="center" wrapText="1"/>
    </xf>
    <xf numFmtId="44" fontId="1" fillId="0" borderId="19" xfId="65" applyFont="1" applyBorder="1" applyAlignment="1">
      <alignment horizontal="center" vertical="center" wrapText="1"/>
    </xf>
    <xf numFmtId="44" fontId="1" fillId="0" borderId="0" xfId="65" applyFont="1" applyBorder="1" applyAlignment="1">
      <alignment horizontal="center" vertical="center" wrapText="1"/>
    </xf>
    <xf numFmtId="44" fontId="1" fillId="0" borderId="15" xfId="65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4" fontId="1" fillId="0" borderId="32" xfId="65" applyFont="1" applyBorder="1" applyAlignment="1">
      <alignment horizontal="center" vertical="center" wrapText="1"/>
    </xf>
    <xf numFmtId="44" fontId="1" fillId="0" borderId="13" xfId="65" applyFont="1" applyBorder="1" applyAlignment="1">
      <alignment horizontal="center" vertical="center" wrapText="1"/>
    </xf>
    <xf numFmtId="44" fontId="1" fillId="0" borderId="16" xfId="65" applyFont="1" applyBorder="1" applyAlignment="1">
      <alignment horizontal="center" vertical="center" wrapText="1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0" fillId="39" borderId="23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/>
    </xf>
    <xf numFmtId="0" fontId="0" fillId="39" borderId="130" xfId="0" applyFont="1" applyFill="1" applyBorder="1" applyAlignment="1">
      <alignment horizontal="center"/>
    </xf>
    <xf numFmtId="0" fontId="0" fillId="39" borderId="25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0" fontId="0" fillId="39" borderId="163" xfId="0" applyFont="1" applyFill="1" applyBorder="1" applyAlignment="1">
      <alignment horizontal="center"/>
    </xf>
    <xf numFmtId="0" fontId="0" fillId="39" borderId="22" xfId="0" applyFont="1" applyFill="1" applyBorder="1" applyAlignment="1">
      <alignment horizontal="center"/>
    </xf>
    <xf numFmtId="0" fontId="0" fillId="39" borderId="164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4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2" fillId="36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8" fillId="0" borderId="66" xfId="0" applyFont="1" applyBorder="1" applyAlignment="1" applyProtection="1">
      <alignment horizontal="center"/>
      <protection locked="0"/>
    </xf>
    <xf numFmtId="0" fontId="28" fillId="0" borderId="67" xfId="0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left"/>
      <protection locked="0"/>
    </xf>
    <xf numFmtId="0" fontId="28" fillId="0" borderId="24" xfId="0" applyFont="1" applyBorder="1" applyAlignment="1" applyProtection="1">
      <alignment horizontal="left"/>
      <protection locked="0"/>
    </xf>
    <xf numFmtId="0" fontId="28" fillId="0" borderId="100" xfId="0" applyFont="1" applyBorder="1" applyAlignment="1" applyProtection="1">
      <alignment horizontal="left"/>
      <protection locked="0"/>
    </xf>
    <xf numFmtId="170" fontId="28" fillId="0" borderId="86" xfId="0" applyNumberFormat="1" applyFont="1" applyBorder="1" applyAlignment="1" applyProtection="1">
      <alignment horizontal="center"/>
      <protection locked="0"/>
    </xf>
    <xf numFmtId="170" fontId="28" fillId="0" borderId="100" xfId="0" applyNumberFormat="1" applyFont="1" applyBorder="1" applyAlignment="1" applyProtection="1">
      <alignment horizontal="center"/>
      <protection locked="0"/>
    </xf>
    <xf numFmtId="1" fontId="28" fillId="0" borderId="86" xfId="0" applyNumberFormat="1" applyFont="1" applyBorder="1" applyAlignment="1" applyProtection="1">
      <alignment horizontal="center"/>
      <protection locked="0"/>
    </xf>
    <xf numFmtId="1" fontId="28" fillId="0" borderId="24" xfId="0" applyNumberFormat="1" applyFont="1" applyBorder="1" applyAlignment="1" applyProtection="1">
      <alignment horizontal="center"/>
      <protection locked="0"/>
    </xf>
    <xf numFmtId="1" fontId="28" fillId="0" borderId="100" xfId="0" applyNumberFormat="1" applyFont="1" applyBorder="1" applyAlignment="1" applyProtection="1">
      <alignment horizontal="center"/>
      <protection locked="0"/>
    </xf>
    <xf numFmtId="49" fontId="28" fillId="0" borderId="86" xfId="0" applyNumberFormat="1" applyFont="1" applyBorder="1" applyAlignment="1" applyProtection="1">
      <alignment horizontal="center"/>
      <protection locked="0"/>
    </xf>
    <xf numFmtId="49" fontId="28" fillId="0" borderId="100" xfId="0" applyNumberFormat="1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center"/>
      <protection locked="0"/>
    </xf>
    <xf numFmtId="0" fontId="28" fillId="0" borderId="100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left"/>
      <protection locked="0"/>
    </xf>
    <xf numFmtId="0" fontId="28" fillId="0" borderId="55" xfId="0" applyFont="1" applyBorder="1" applyAlignment="1" applyProtection="1">
      <alignment horizontal="left"/>
      <protection locked="0"/>
    </xf>
    <xf numFmtId="0" fontId="28" fillId="0" borderId="67" xfId="0" applyFont="1" applyBorder="1" applyAlignment="1" applyProtection="1">
      <alignment horizontal="left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70" fontId="28" fillId="0" borderId="67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1" fontId="28" fillId="0" borderId="55" xfId="0" applyNumberFormat="1" applyFont="1" applyBorder="1" applyAlignment="1" applyProtection="1">
      <alignment horizontal="center"/>
      <protection locked="0"/>
    </xf>
    <xf numFmtId="1" fontId="28" fillId="0" borderId="67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49" fontId="28" fillId="0" borderId="67" xfId="0" applyNumberFormat="1" applyFont="1" applyBorder="1" applyAlignment="1" applyProtection="1">
      <alignment horizontal="center"/>
      <protection locked="0"/>
    </xf>
    <xf numFmtId="0" fontId="28" fillId="0" borderId="94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96" xfId="0" applyFont="1" applyBorder="1" applyAlignment="1" applyProtection="1">
      <alignment horizontal="center"/>
      <protection/>
    </xf>
    <xf numFmtId="0" fontId="28" fillId="0" borderId="88" xfId="0" applyFont="1" applyBorder="1" applyAlignment="1" applyProtection="1">
      <alignment horizontal="center"/>
      <protection/>
    </xf>
    <xf numFmtId="0" fontId="28" fillId="0" borderId="87" xfId="0" applyFont="1" applyBorder="1" applyAlignment="1" applyProtection="1">
      <alignment horizontal="left"/>
      <protection locked="0"/>
    </xf>
    <xf numFmtId="0" fontId="28" fillId="0" borderId="58" xfId="0" applyFont="1" applyBorder="1" applyAlignment="1" applyProtection="1">
      <alignment horizontal="left"/>
      <protection locked="0"/>
    </xf>
    <xf numFmtId="0" fontId="28" fillId="0" borderId="103" xfId="0" applyFont="1" applyBorder="1" applyAlignment="1" applyProtection="1">
      <alignment horizontal="left"/>
      <protection locked="0"/>
    </xf>
    <xf numFmtId="170" fontId="28" fillId="0" borderId="87" xfId="0" applyNumberFormat="1" applyFont="1" applyBorder="1" applyAlignment="1" applyProtection="1">
      <alignment horizontal="center"/>
      <protection locked="0"/>
    </xf>
    <xf numFmtId="170" fontId="28" fillId="0" borderId="103" xfId="0" applyNumberFormat="1" applyFont="1" applyBorder="1" applyAlignment="1" applyProtection="1">
      <alignment horizontal="center"/>
      <protection locked="0"/>
    </xf>
    <xf numFmtId="1" fontId="28" fillId="0" borderId="87" xfId="0" applyNumberFormat="1" applyFont="1" applyBorder="1" applyAlignment="1" applyProtection="1">
      <alignment horizontal="center"/>
      <protection locked="0"/>
    </xf>
    <xf numFmtId="1" fontId="28" fillId="0" borderId="58" xfId="0" applyNumberFormat="1" applyFont="1" applyBorder="1" applyAlignment="1" applyProtection="1">
      <alignment horizontal="center"/>
      <protection locked="0"/>
    </xf>
    <xf numFmtId="1" fontId="28" fillId="0" borderId="103" xfId="0" applyNumberFormat="1" applyFont="1" applyBorder="1" applyAlignment="1" applyProtection="1">
      <alignment horizontal="center"/>
      <protection locked="0"/>
    </xf>
    <xf numFmtId="49" fontId="28" fillId="0" borderId="87" xfId="0" applyNumberFormat="1" applyFont="1" applyBorder="1" applyAlignment="1" applyProtection="1">
      <alignment horizontal="center"/>
      <protection locked="0"/>
    </xf>
    <xf numFmtId="49" fontId="28" fillId="0" borderId="103" xfId="0" applyNumberFormat="1" applyFont="1" applyBorder="1" applyAlignment="1" applyProtection="1">
      <alignment horizontal="center"/>
      <protection locked="0"/>
    </xf>
    <xf numFmtId="0" fontId="28" fillId="0" borderId="87" xfId="0" applyFont="1" applyBorder="1" applyAlignment="1" applyProtection="1">
      <alignment horizontal="center"/>
      <protection locked="0"/>
    </xf>
    <xf numFmtId="0" fontId="28" fillId="0" borderId="103" xfId="0" applyFont="1" applyBorder="1" applyAlignment="1" applyProtection="1">
      <alignment horizontal="center"/>
      <protection locked="0"/>
    </xf>
    <xf numFmtId="1" fontId="28" fillId="0" borderId="87" xfId="0" applyNumberFormat="1" applyFont="1" applyFill="1" applyBorder="1" applyAlignment="1" applyProtection="1">
      <alignment horizontal="center"/>
      <protection locked="0"/>
    </xf>
    <xf numFmtId="1" fontId="28" fillId="0" borderId="58" xfId="0" applyNumberFormat="1" applyFont="1" applyFill="1" applyBorder="1" applyAlignment="1" applyProtection="1">
      <alignment horizontal="center"/>
      <protection locked="0"/>
    </xf>
    <xf numFmtId="1" fontId="28" fillId="0" borderId="103" xfId="0" applyNumberFormat="1" applyFont="1" applyFill="1" applyBorder="1" applyAlignment="1" applyProtection="1">
      <alignment horizontal="center"/>
      <protection locked="0"/>
    </xf>
    <xf numFmtId="49" fontId="28" fillId="0" borderId="87" xfId="0" applyNumberFormat="1" applyFont="1" applyFill="1" applyBorder="1" applyAlignment="1" applyProtection="1">
      <alignment horizontal="center"/>
      <protection locked="0"/>
    </xf>
    <xf numFmtId="49" fontId="28" fillId="0" borderId="103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1" fontId="28" fillId="0" borderId="55" xfId="0" applyNumberFormat="1" applyFont="1" applyFill="1" applyBorder="1" applyAlignment="1" applyProtection="1">
      <alignment horizontal="center"/>
      <protection locked="0"/>
    </xf>
    <xf numFmtId="1" fontId="28" fillId="0" borderId="67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7" xfId="0" applyNumberFormat="1" applyFont="1" applyFill="1" applyBorder="1" applyAlignment="1" applyProtection="1">
      <alignment horizontal="center"/>
      <protection locked="0"/>
    </xf>
    <xf numFmtId="170" fontId="28" fillId="0" borderId="55" xfId="0" applyNumberFormat="1" applyFont="1" applyBorder="1" applyAlignment="1" applyProtection="1">
      <alignment horizontal="center"/>
      <protection locked="0"/>
    </xf>
    <xf numFmtId="1" fontId="28" fillId="0" borderId="56" xfId="0" applyNumberFormat="1" applyFont="1" applyBorder="1" applyAlignment="1" applyProtection="1">
      <alignment horizontal="center"/>
      <protection locked="0"/>
    </xf>
    <xf numFmtId="1" fontId="28" fillId="0" borderId="36" xfId="0" applyNumberFormat="1" applyFont="1" applyBorder="1" applyAlignment="1" applyProtection="1">
      <alignment horizontal="center"/>
      <protection locked="0"/>
    </xf>
    <xf numFmtId="1" fontId="28" fillId="0" borderId="34" xfId="0" applyNumberFormat="1" applyFont="1" applyBorder="1" applyAlignment="1" applyProtection="1">
      <alignment horizontal="center"/>
      <protection locked="0"/>
    </xf>
    <xf numFmtId="49" fontId="28" fillId="0" borderId="55" xfId="0" applyNumberFormat="1" applyFont="1" applyBorder="1" applyAlignment="1" applyProtection="1">
      <alignment horizontal="center"/>
      <protection locked="0"/>
    </xf>
    <xf numFmtId="170" fontId="28" fillId="0" borderId="24" xfId="0" applyNumberFormat="1" applyFont="1" applyBorder="1" applyAlignment="1" applyProtection="1">
      <alignment horizontal="center"/>
      <protection locked="0"/>
    </xf>
    <xf numFmtId="49" fontId="28" fillId="0" borderId="24" xfId="0" applyNumberFormat="1" applyFont="1" applyBorder="1" applyAlignment="1" applyProtection="1">
      <alignment horizontal="center"/>
      <protection locked="0"/>
    </xf>
    <xf numFmtId="170" fontId="28" fillId="0" borderId="58" xfId="0" applyNumberFormat="1" applyFont="1" applyBorder="1" applyAlignment="1" applyProtection="1">
      <alignment horizontal="center"/>
      <protection locked="0"/>
    </xf>
    <xf numFmtId="49" fontId="28" fillId="0" borderId="58" xfId="0" applyNumberFormat="1" applyFont="1" applyBorder="1" applyAlignment="1" applyProtection="1">
      <alignment horizontal="center"/>
      <protection locked="0"/>
    </xf>
    <xf numFmtId="1" fontId="28" fillId="0" borderId="86" xfId="0" applyNumberFormat="1" applyFont="1" applyBorder="1" applyAlignment="1" applyProtection="1" quotePrefix="1">
      <alignment horizontal="center"/>
      <protection locked="0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72" fontId="0" fillId="0" borderId="88" xfId="0" applyNumberFormat="1" applyBorder="1" applyAlignment="1" applyProtection="1">
      <alignment horizontal="center"/>
      <protection/>
    </xf>
    <xf numFmtId="172" fontId="0" fillId="0" borderId="93" xfId="0" applyNumberFormat="1" applyBorder="1" applyAlignment="1" applyProtection="1">
      <alignment horizontal="center"/>
      <protection/>
    </xf>
    <xf numFmtId="172" fontId="0" fillId="0" borderId="88" xfId="0" applyNumberFormat="1" applyBorder="1" applyAlignment="1" applyProtection="1">
      <alignment horizontal="center"/>
      <protection locked="0"/>
    </xf>
    <xf numFmtId="172" fontId="0" fillId="0" borderId="93" xfId="0" applyNumberForma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vertical="justify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36" xfId="0" applyBorder="1" applyAlignment="1" applyProtection="1">
      <alignment horizontal="center" vertical="center" wrapText="1"/>
      <protection/>
    </xf>
    <xf numFmtId="0" fontId="0" fillId="0" borderId="99" xfId="0" applyBorder="1" applyAlignment="1" applyProtection="1">
      <alignment horizontal="center" vertical="center"/>
      <protection/>
    </xf>
    <xf numFmtId="0" fontId="0" fillId="0" borderId="137" xfId="0" applyBorder="1" applyAlignment="1" applyProtection="1">
      <alignment horizontal="center" vertical="center"/>
      <protection/>
    </xf>
    <xf numFmtId="0" fontId="0" fillId="0" borderId="1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152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/>
      <protection/>
    </xf>
    <xf numFmtId="0" fontId="0" fillId="0" borderId="103" xfId="0" applyBorder="1" applyAlignment="1" applyProtection="1">
      <alignment horizontal="center"/>
      <protection/>
    </xf>
    <xf numFmtId="0" fontId="29" fillId="0" borderId="88" xfId="0" applyFont="1" applyBorder="1" applyAlignment="1" applyProtection="1">
      <alignment horizontal="center"/>
      <protection locked="0"/>
    </xf>
    <xf numFmtId="0" fontId="29" fillId="0" borderId="93" xfId="0" applyFont="1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93" xfId="0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left" vertical="justify"/>
      <protection/>
    </xf>
    <xf numFmtId="0" fontId="19" fillId="0" borderId="52" xfId="0" applyFont="1" applyBorder="1" applyAlignment="1" applyProtection="1">
      <alignment horizontal="center" vertical="center"/>
      <protection/>
    </xf>
    <xf numFmtId="0" fontId="0" fillId="0" borderId="136" xfId="0" applyBorder="1" applyAlignment="1" applyProtection="1">
      <alignment/>
      <protection locked="0"/>
    </xf>
    <xf numFmtId="0" fontId="0" fillId="0" borderId="99" xfId="0" applyBorder="1" applyAlignment="1" applyProtection="1">
      <alignment/>
      <protection locked="0"/>
    </xf>
    <xf numFmtId="0" fontId="0" fillId="0" borderId="137" xfId="0" applyBorder="1" applyAlignment="1" applyProtection="1">
      <alignment/>
      <protection locked="0"/>
    </xf>
    <xf numFmtId="0" fontId="0" fillId="0" borderId="1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152" xfId="0" applyBorder="1" applyAlignment="1" applyProtection="1">
      <alignment/>
      <protection locked="0"/>
    </xf>
    <xf numFmtId="170" fontId="28" fillId="0" borderId="0" xfId="0" applyNumberFormat="1" applyFont="1" applyAlignment="1" applyProtection="1">
      <alignment horizontal="center"/>
      <protection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28.04.96 S.1,3,4" xfId="54"/>
    <cellStyle name="Standard_AK_14 Feld_98" xfId="55"/>
    <cellStyle name="Standard_AK14 w." xfId="56"/>
    <cellStyle name="Standard_EDI Bubble" xfId="57"/>
    <cellStyle name="Standard_Einladung + Ergebnisse ODM Feld 1999 AK 30-50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2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0</xdr:row>
      <xdr:rowOff>19050</xdr:rowOff>
    </xdr:from>
    <xdr:to>
      <xdr:col>18</xdr:col>
      <xdr:colOff>76200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9050"/>
          <a:ext cx="18097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3</xdr:col>
      <xdr:colOff>219075</xdr:colOff>
      <xdr:row>4</xdr:row>
      <xdr:rowOff>142875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5430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9525</xdr:rowOff>
    </xdr:from>
    <xdr:to>
      <xdr:col>14</xdr:col>
      <xdr:colOff>676275</xdr:colOff>
      <xdr:row>4</xdr:row>
      <xdr:rowOff>133350</xdr:rowOff>
    </xdr:to>
    <xdr:pic>
      <xdr:nvPicPr>
        <xdr:cNvPr id="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9525"/>
          <a:ext cx="1371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57150</xdr:colOff>
      <xdr:row>4</xdr:row>
      <xdr:rowOff>95250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90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9525</xdr:rowOff>
    </xdr:from>
    <xdr:to>
      <xdr:col>14</xdr:col>
      <xdr:colOff>685800</xdr:colOff>
      <xdr:row>3</xdr:row>
      <xdr:rowOff>285750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133350</xdr:colOff>
      <xdr:row>4</xdr:row>
      <xdr:rowOff>57150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47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14</xdr:col>
      <xdr:colOff>628650</xdr:colOff>
      <xdr:row>4</xdr:row>
      <xdr:rowOff>85725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647700</xdr:colOff>
      <xdr:row>4</xdr:row>
      <xdr:rowOff>133350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9050"/>
          <a:ext cx="1381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3</xdr:col>
      <xdr:colOff>85725</xdr:colOff>
      <xdr:row>4</xdr:row>
      <xdr:rowOff>95250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0</xdr:row>
      <xdr:rowOff>19050</xdr:rowOff>
    </xdr:from>
    <xdr:to>
      <xdr:col>14</xdr:col>
      <xdr:colOff>581025</xdr:colOff>
      <xdr:row>4</xdr:row>
      <xdr:rowOff>114300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9050"/>
          <a:ext cx="1295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3</xdr:col>
      <xdr:colOff>304800</xdr:colOff>
      <xdr:row>4</xdr:row>
      <xdr:rowOff>133350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00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0</xdr:row>
      <xdr:rowOff>0</xdr:rowOff>
    </xdr:from>
    <xdr:to>
      <xdr:col>14</xdr:col>
      <xdr:colOff>638175</xdr:colOff>
      <xdr:row>4</xdr:row>
      <xdr:rowOff>104775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57150</xdr:colOff>
      <xdr:row>4</xdr:row>
      <xdr:rowOff>123825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00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85725</xdr:colOff>
      <xdr:row>4</xdr:row>
      <xdr:rowOff>95250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723900</xdr:colOff>
      <xdr:row>4</xdr:row>
      <xdr:rowOff>85725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0</xdr:rowOff>
    </xdr:from>
    <xdr:to>
      <xdr:col>8</xdr:col>
      <xdr:colOff>704850</xdr:colOff>
      <xdr:row>3</xdr:row>
      <xdr:rowOff>66675</xdr:rowOff>
    </xdr:to>
    <xdr:pic>
      <xdr:nvPicPr>
        <xdr:cNvPr id="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066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257175</xdr:colOff>
      <xdr:row>4</xdr:row>
      <xdr:rowOff>0</xdr:rowOff>
    </xdr:to>
    <xdr:pic>
      <xdr:nvPicPr>
        <xdr:cNvPr id="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47625</xdr:colOff>
      <xdr:row>3</xdr:row>
      <xdr:rowOff>219075</xdr:rowOff>
    </xdr:to>
    <xdr:pic>
      <xdr:nvPicPr>
        <xdr:cNvPr id="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00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352425</xdr:colOff>
      <xdr:row>0</xdr:row>
      <xdr:rowOff>0</xdr:rowOff>
    </xdr:from>
    <xdr:to>
      <xdr:col>16</xdr:col>
      <xdr:colOff>247650</xdr:colOff>
      <xdr:row>3</xdr:row>
      <xdr:rowOff>219075</xdr:rowOff>
    </xdr:to>
    <xdr:pic>
      <xdr:nvPicPr>
        <xdr:cNvPr id="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7</xdr:col>
      <xdr:colOff>161925</xdr:colOff>
      <xdr:row>4</xdr:row>
      <xdr:rowOff>47625</xdr:rowOff>
    </xdr:to>
    <xdr:pic>
      <xdr:nvPicPr>
        <xdr:cNvPr id="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28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0</xdr:row>
      <xdr:rowOff>0</xdr:rowOff>
    </xdr:from>
    <xdr:to>
      <xdr:col>36</xdr:col>
      <xdr:colOff>161925</xdr:colOff>
      <xdr:row>4</xdr:row>
      <xdr:rowOff>161925</xdr:rowOff>
    </xdr:to>
    <xdr:pic>
      <xdr:nvPicPr>
        <xdr:cNvPr id="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0"/>
          <a:ext cx="1400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16</xdr:row>
      <xdr:rowOff>142875</xdr:rowOff>
    </xdr:from>
    <xdr:to>
      <xdr:col>32</xdr:col>
      <xdr:colOff>9525</xdr:colOff>
      <xdr:row>146</xdr:row>
      <xdr:rowOff>47625</xdr:rowOff>
    </xdr:to>
    <xdr:pic>
      <xdr:nvPicPr>
        <xdr:cNvPr id="1" name="Picture 172" descr="Faustbal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152775"/>
          <a:ext cx="17049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28575</xdr:rowOff>
    </xdr:from>
    <xdr:to>
      <xdr:col>16</xdr:col>
      <xdr:colOff>1019175</xdr:colOff>
      <xdr:row>4</xdr:row>
      <xdr:rowOff>114300</xdr:rowOff>
    </xdr:to>
    <xdr:pic>
      <xdr:nvPicPr>
        <xdr:cNvPr id="2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8575"/>
          <a:ext cx="1019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3</xdr:col>
      <xdr:colOff>257175</xdr:colOff>
      <xdr:row>4</xdr:row>
      <xdr:rowOff>114300</xdr:rowOff>
    </xdr:to>
    <xdr:pic>
      <xdr:nvPicPr>
        <xdr:cNvPr id="3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1314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1104900</xdr:colOff>
      <xdr:row>3</xdr:row>
      <xdr:rowOff>28575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600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161925</xdr:colOff>
      <xdr:row>0</xdr:row>
      <xdr:rowOff>9525</xdr:rowOff>
    </xdr:from>
    <xdr:to>
      <xdr:col>33</xdr:col>
      <xdr:colOff>342900</xdr:colOff>
      <xdr:row>6</xdr:row>
      <xdr:rowOff>47625</xdr:rowOff>
    </xdr:to>
    <xdr:pic>
      <xdr:nvPicPr>
        <xdr:cNvPr id="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9525"/>
          <a:ext cx="1362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</xdr:rowOff>
    </xdr:from>
    <xdr:to>
      <xdr:col>4</xdr:col>
      <xdr:colOff>247650</xdr:colOff>
      <xdr:row>6</xdr:row>
      <xdr:rowOff>95250</xdr:rowOff>
    </xdr:to>
    <xdr:pic>
      <xdr:nvPicPr>
        <xdr:cNvPr id="2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476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47625</xdr:colOff>
      <xdr:row>0</xdr:row>
      <xdr:rowOff>0</xdr:rowOff>
    </xdr:from>
    <xdr:to>
      <xdr:col>32</xdr:col>
      <xdr:colOff>104775</xdr:colOff>
      <xdr:row>3</xdr:row>
      <xdr:rowOff>190500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0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3</xdr:row>
      <xdr:rowOff>152400</xdr:rowOff>
    </xdr:to>
    <xdr:pic>
      <xdr:nvPicPr>
        <xdr:cNvPr id="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25</xdr:row>
      <xdr:rowOff>66675</xdr:rowOff>
    </xdr:from>
    <xdr:to>
      <xdr:col>10</xdr:col>
      <xdr:colOff>76200</xdr:colOff>
      <xdr:row>25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17811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>
      <xdr:nvSpPr>
        <xdr:cNvPr id="2" name="Rectangle 17"/>
        <xdr:cNvSpPr>
          <a:spLocks/>
        </xdr:cNvSpPr>
      </xdr:nvSpPr>
      <xdr:spPr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>
      <xdr:nvSpPr>
        <xdr:cNvPr id="3" name="Rectangle 18"/>
        <xdr:cNvSpPr>
          <a:spLocks/>
        </xdr:cNvSpPr>
      </xdr:nvSpPr>
      <xdr:spPr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66675</xdr:rowOff>
    </xdr:from>
    <xdr:to>
      <xdr:col>8</xdr:col>
      <xdr:colOff>152400</xdr:colOff>
      <xdr:row>25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145732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47625</xdr:colOff>
      <xdr:row>0</xdr:row>
      <xdr:rowOff>38100</xdr:rowOff>
    </xdr:from>
    <xdr:to>
      <xdr:col>33</xdr:col>
      <xdr:colOff>180975</xdr:colOff>
      <xdr:row>4</xdr:row>
      <xdr:rowOff>219075</xdr:rowOff>
    </xdr:to>
    <xdr:pic>
      <xdr:nvPicPr>
        <xdr:cNvPr id="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8100"/>
          <a:ext cx="9334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161925</xdr:colOff>
      <xdr:row>4</xdr:row>
      <xdr:rowOff>171450</xdr:rowOff>
    </xdr:to>
    <xdr:pic>
      <xdr:nvPicPr>
        <xdr:cNvPr id="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342900</xdr:colOff>
      <xdr:row>0</xdr:row>
      <xdr:rowOff>0</xdr:rowOff>
    </xdr:from>
    <xdr:to>
      <xdr:col>35</xdr:col>
      <xdr:colOff>9525</xdr:colOff>
      <xdr:row>4</xdr:row>
      <xdr:rowOff>123825</xdr:rowOff>
    </xdr:to>
    <xdr:pic>
      <xdr:nvPicPr>
        <xdr:cNvPr id="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0"/>
          <a:ext cx="1247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114300</xdr:rowOff>
    </xdr:to>
    <xdr:pic>
      <xdr:nvPicPr>
        <xdr:cNvPr id="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323850</xdr:colOff>
      <xdr:row>0</xdr:row>
      <xdr:rowOff>9525</xdr:rowOff>
    </xdr:from>
    <xdr:to>
      <xdr:col>36</xdr:col>
      <xdr:colOff>66675</xdr:colOff>
      <xdr:row>4</xdr:row>
      <xdr:rowOff>142875</xdr:rowOff>
    </xdr:to>
    <xdr:pic>
      <xdr:nvPicPr>
        <xdr:cNvPr id="2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9525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0</xdr:rowOff>
    </xdr:from>
    <xdr:to>
      <xdr:col>41</xdr:col>
      <xdr:colOff>590550</xdr:colOff>
      <xdr:row>3</xdr:row>
      <xdr:rowOff>209550</xdr:rowOff>
    </xdr:to>
    <xdr:pic>
      <xdr:nvPicPr>
        <xdr:cNvPr id="1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41</xdr:col>
      <xdr:colOff>590550</xdr:colOff>
      <xdr:row>3</xdr:row>
      <xdr:rowOff>209550</xdr:rowOff>
    </xdr:to>
    <xdr:pic>
      <xdr:nvPicPr>
        <xdr:cNvPr id="2" name="Picture 3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209550</xdr:rowOff>
    </xdr:to>
    <xdr:pic>
      <xdr:nvPicPr>
        <xdr:cNvPr id="3" name="Picture 5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austballregionalgruppe-ost.de/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austballregionalgruppe-ost.de/Eigene%20Dateien\Faustball\Feld%2096\ODM\AK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austballregionalgruppe-ost.de/Users\TBausBB\AppData\Local\Microsoft\Windows\Temporary%20Internet%20Files\Content.Outlook\QQBI8T2Z\Halle+3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K 14 w."/>
      <sheetName val="Sppl AK 14 w"/>
      <sheetName val="Ergebnisse AK 14 w"/>
      <sheetName val="Lieber Andreas"/>
      <sheetName val="AK 14 m."/>
      <sheetName val="Sppl AK 14 m"/>
      <sheetName val="Ergebnisse AK 14 m"/>
      <sheetName val="Modul2"/>
    </sheetNames>
    <definedNames>
      <definedName name="Makro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Mannschaften"/>
      <sheetName val="Leitung"/>
      <sheetName val="Spielplan-Sa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B1"/>
      <sheetName val="Spielereinsatzliste B2"/>
      <sheetName val="Spielereinsatzliste B3"/>
      <sheetName val="Siegerliste"/>
      <sheetName val="geografische Verteilung"/>
      <sheetName val="Abrechnung"/>
    </sheetNames>
    <sheetDataSet>
      <sheetData sheetId="1">
        <row r="5">
          <cell r="A5" t="str">
            <v>Ausrichter: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U210"/>
  <sheetViews>
    <sheetView zoomScale="75" zoomScaleNormal="75" zoomScalePageLayoutView="0" workbookViewId="0" topLeftCell="A103">
      <selection activeCell="AJ131" sqref="AJ131"/>
    </sheetView>
  </sheetViews>
  <sheetFormatPr defaultColWidth="11.57421875" defaultRowHeight="12.75"/>
  <cols>
    <col min="1" max="1" width="5.421875" style="580" customWidth="1"/>
    <col min="2" max="3" width="5.28125" style="580" customWidth="1"/>
    <col min="4" max="4" width="6.28125" style="580" customWidth="1"/>
    <col min="5" max="5" width="2.28125" style="580" customWidth="1"/>
    <col min="6" max="6" width="7.28125" style="580" customWidth="1"/>
    <col min="7" max="8" width="5.28125" style="580" customWidth="1"/>
    <col min="9" max="9" width="6.8515625" style="580" customWidth="1"/>
    <col min="10" max="16" width="5.28125" style="580" customWidth="1"/>
    <col min="17" max="17" width="5.7109375" style="580" customWidth="1"/>
    <col min="18" max="19" width="1.7109375" style="580" customWidth="1"/>
    <col min="20" max="23" width="0.85546875" style="580" customWidth="1"/>
    <col min="24" max="24" width="7.421875" style="580" hidden="1" customWidth="1"/>
    <col min="25" max="25" width="14.7109375" style="580" hidden="1" customWidth="1"/>
    <col min="26" max="26" width="7.421875" style="580" hidden="1" customWidth="1"/>
    <col min="27" max="27" width="14.7109375" style="580" hidden="1" customWidth="1"/>
    <col min="28" max="28" width="7.421875" style="580" hidden="1" customWidth="1"/>
    <col min="29" max="29" width="14.7109375" style="580" hidden="1" customWidth="1"/>
    <col min="30" max="30" width="7.421875" style="580" hidden="1" customWidth="1"/>
    <col min="31" max="31" width="14.7109375" style="580" hidden="1" customWidth="1"/>
    <col min="32" max="32" width="6.7109375" style="580" hidden="1" customWidth="1"/>
    <col min="33" max="33" width="17.7109375" style="580" hidden="1" customWidth="1"/>
    <col min="34" max="34" width="21.28125" style="580" hidden="1" customWidth="1"/>
    <col min="35" max="35" width="20.28125" style="580" hidden="1" customWidth="1"/>
    <col min="36" max="37" width="11.57421875" style="580" customWidth="1"/>
    <col min="38" max="40" width="0" style="580" hidden="1" customWidth="1"/>
    <col min="41" max="16384" width="11.57421875" style="580" customWidth="1"/>
  </cols>
  <sheetData>
    <row r="1" ht="12" customHeight="1"/>
    <row r="2" ht="12" customHeight="1"/>
    <row r="3" ht="12" customHeight="1"/>
    <row r="4" spans="1:32" ht="27.75">
      <c r="A4" s="581" t="s">
        <v>397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AE4"/>
      <c r="AF4"/>
    </row>
    <row r="5" spans="1:32" ht="20.25">
      <c r="A5" s="656" t="s">
        <v>398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AE5"/>
      <c r="AF5"/>
    </row>
    <row r="6" spans="1:32" ht="12" customHeight="1">
      <c r="A6" s="583"/>
      <c r="AE6"/>
      <c r="AF6"/>
    </row>
    <row r="7" spans="1:32" ht="12.75">
      <c r="A7" s="584"/>
      <c r="AE7"/>
      <c r="AF7"/>
    </row>
    <row r="8" spans="1:32" ht="12.75">
      <c r="A8" s="584" t="s">
        <v>255</v>
      </c>
      <c r="AE8"/>
      <c r="AF8"/>
    </row>
    <row r="9" spans="2:32" ht="12" customHeight="1">
      <c r="B9" s="585"/>
      <c r="C9" s="585"/>
      <c r="D9" s="585"/>
      <c r="E9" s="585"/>
      <c r="F9" s="585"/>
      <c r="G9" s="585"/>
      <c r="H9" s="585"/>
      <c r="I9" s="585"/>
      <c r="J9" s="585"/>
      <c r="K9" s="586"/>
      <c r="L9" s="586"/>
      <c r="M9" s="587"/>
      <c r="N9" s="585"/>
      <c r="O9" s="585"/>
      <c r="P9" s="585"/>
      <c r="Q9" s="585"/>
      <c r="R9" s="585"/>
      <c r="S9" s="587"/>
      <c r="Y9" s="588"/>
      <c r="Z9" s="588"/>
      <c r="AE9"/>
      <c r="AF9"/>
    </row>
    <row r="10" spans="1:26" ht="28.5" customHeight="1">
      <c r="A10" s="588" t="s">
        <v>418</v>
      </c>
      <c r="B10" s="588"/>
      <c r="C10" s="589"/>
      <c r="D10" s="589"/>
      <c r="E10" s="589"/>
      <c r="F10" s="589"/>
      <c r="G10" s="589"/>
      <c r="H10" s="702" t="s">
        <v>256</v>
      </c>
      <c r="I10" s="703"/>
      <c r="J10" s="703"/>
      <c r="K10" s="703"/>
      <c r="L10" s="674"/>
      <c r="M10" s="590"/>
      <c r="Q10" s="591" t="s">
        <v>419</v>
      </c>
      <c r="Y10" s="592"/>
      <c r="Z10" s="592"/>
    </row>
    <row r="11" spans="1:35" ht="9.75" customHeight="1">
      <c r="A11" s="593"/>
      <c r="C11" s="587"/>
      <c r="D11" s="587"/>
      <c r="E11" s="587"/>
      <c r="F11" s="587"/>
      <c r="G11" s="587"/>
      <c r="H11" s="587"/>
      <c r="Y11"/>
      <c r="Z11"/>
      <c r="AA11"/>
      <c r="AB11"/>
      <c r="AC11" s="594"/>
      <c r="AD11" s="594"/>
      <c r="AE11"/>
      <c r="AF11"/>
      <c r="AG11"/>
      <c r="AH11"/>
      <c r="AI11"/>
    </row>
    <row r="12" spans="1:35" s="597" customFormat="1" ht="15.75">
      <c r="A12" s="595"/>
      <c r="B12" s="596"/>
      <c r="D12" s="598"/>
      <c r="E12" s="598"/>
      <c r="F12" s="598"/>
      <c r="G12" s="598"/>
      <c r="H12" s="598"/>
      <c r="X12" s="599" t="s">
        <v>257</v>
      </c>
      <c r="Z12" s="675" t="s">
        <v>420</v>
      </c>
      <c r="AB12" s="599" t="s">
        <v>258</v>
      </c>
      <c r="AD12" s="676" t="s">
        <v>421</v>
      </c>
      <c r="AF12" s="600" t="s">
        <v>259</v>
      </c>
      <c r="AI12" s="677" t="s">
        <v>260</v>
      </c>
    </row>
    <row r="13" spans="1:35" s="597" customFormat="1" ht="15.75">
      <c r="A13" s="595"/>
      <c r="B13" s="597" t="s">
        <v>422</v>
      </c>
      <c r="C13" s="598"/>
      <c r="D13" s="598"/>
      <c r="E13" s="598"/>
      <c r="F13" s="598"/>
      <c r="G13" s="598"/>
      <c r="H13" s="598"/>
      <c r="X13" s="601" t="s">
        <v>260</v>
      </c>
      <c r="Z13" s="601" t="s">
        <v>423</v>
      </c>
      <c r="AB13" s="601" t="s">
        <v>415</v>
      </c>
      <c r="AD13" s="601" t="s">
        <v>424</v>
      </c>
      <c r="AF13" s="597" t="s">
        <v>425</v>
      </c>
      <c r="AI13" s="677" t="s">
        <v>261</v>
      </c>
    </row>
    <row r="14" spans="1:35" s="597" customFormat="1" ht="15.75">
      <c r="A14" s="595"/>
      <c r="B14" s="597" t="s">
        <v>426</v>
      </c>
      <c r="D14" s="598"/>
      <c r="E14" s="598"/>
      <c r="F14" s="598"/>
      <c r="G14" s="598"/>
      <c r="H14" s="598"/>
      <c r="X14" s="601" t="s">
        <v>263</v>
      </c>
      <c r="Z14" s="601" t="s">
        <v>427</v>
      </c>
      <c r="AB14" s="601" t="s">
        <v>416</v>
      </c>
      <c r="AD14" s="601" t="s">
        <v>428</v>
      </c>
      <c r="AF14" s="597" t="s">
        <v>429</v>
      </c>
      <c r="AI14" s="677" t="s">
        <v>430</v>
      </c>
    </row>
    <row r="15" spans="1:35" s="597" customFormat="1" ht="15.75">
      <c r="A15" s="595"/>
      <c r="B15" s="597" t="s">
        <v>431</v>
      </c>
      <c r="C15" s="598"/>
      <c r="D15" s="598"/>
      <c r="E15" s="598"/>
      <c r="F15" s="598"/>
      <c r="G15" s="598"/>
      <c r="H15" s="598"/>
      <c r="X15" s="601" t="s">
        <v>265</v>
      </c>
      <c r="Z15" s="601" t="s">
        <v>432</v>
      </c>
      <c r="AB15" s="601" t="s">
        <v>266</v>
      </c>
      <c r="AD15" s="601" t="s">
        <v>433</v>
      </c>
      <c r="AF15" s="597" t="s">
        <v>434</v>
      </c>
      <c r="AI15" s="677" t="s">
        <v>435</v>
      </c>
    </row>
    <row r="16" spans="1:35" ht="15" customHeight="1">
      <c r="A16" s="593"/>
      <c r="B16" s="587"/>
      <c r="C16" s="587"/>
      <c r="D16" s="587"/>
      <c r="E16" s="587"/>
      <c r="F16" s="587"/>
      <c r="G16" s="587"/>
      <c r="H16" s="587"/>
      <c r="X16" s="602" t="s">
        <v>267</v>
      </c>
      <c r="Y16" s="603" t="s">
        <v>436</v>
      </c>
      <c r="Z16" s="602" t="s">
        <v>267</v>
      </c>
      <c r="AA16" s="603" t="s">
        <v>437</v>
      </c>
      <c r="AB16" s="602" t="s">
        <v>267</v>
      </c>
      <c r="AC16" s="603" t="s">
        <v>438</v>
      </c>
      <c r="AD16" s="602" t="s">
        <v>267</v>
      </c>
      <c r="AE16" s="603" t="s">
        <v>439</v>
      </c>
      <c r="AF16" s="602"/>
      <c r="AG16" s="603"/>
      <c r="AI16" s="678" t="s">
        <v>268</v>
      </c>
    </row>
    <row r="17" spans="1:35" ht="15" customHeight="1">
      <c r="A17" s="593"/>
      <c r="B17" s="587"/>
      <c r="C17" s="587"/>
      <c r="D17" s="587"/>
      <c r="E17" s="587"/>
      <c r="F17" s="587"/>
      <c r="G17" s="587"/>
      <c r="H17" s="679"/>
      <c r="X17" s="603" t="s">
        <v>440</v>
      </c>
      <c r="Y17" s="603" t="s">
        <v>441</v>
      </c>
      <c r="Z17" s="603" t="s">
        <v>440</v>
      </c>
      <c r="AB17" s="603"/>
      <c r="AC17" s="603"/>
      <c r="AD17" s="603"/>
      <c r="AF17" s="603"/>
      <c r="AG17" s="603"/>
      <c r="AI17" s="678" t="s">
        <v>269</v>
      </c>
    </row>
    <row r="18" spans="1:35" ht="15" customHeight="1">
      <c r="A18" s="593"/>
      <c r="B18" s="587"/>
      <c r="C18" s="587"/>
      <c r="D18" s="587"/>
      <c r="E18" s="587"/>
      <c r="F18" s="587"/>
      <c r="G18" s="587"/>
      <c r="X18" s="603" t="s">
        <v>270</v>
      </c>
      <c r="Y18" s="603" t="s">
        <v>442</v>
      </c>
      <c r="AG18" s="603"/>
      <c r="AI18" s="678" t="s">
        <v>443</v>
      </c>
    </row>
    <row r="19" spans="1:35" ht="15" customHeight="1">
      <c r="A19" s="597" t="s">
        <v>271</v>
      </c>
      <c r="B19" s="604" t="s">
        <v>272</v>
      </c>
      <c r="C19" s="605"/>
      <c r="D19" s="606"/>
      <c r="E19" s="605"/>
      <c r="F19" s="605"/>
      <c r="G19" s="607">
        <v>1</v>
      </c>
      <c r="H19" s="608" t="s">
        <v>414</v>
      </c>
      <c r="I19" s="606"/>
      <c r="J19" s="606"/>
      <c r="K19" s="609"/>
      <c r="L19" s="609"/>
      <c r="M19" s="610" t="s">
        <v>444</v>
      </c>
      <c r="N19" s="611"/>
      <c r="O19" s="612"/>
      <c r="X19" s="614" t="s">
        <v>445</v>
      </c>
      <c r="Z19" s="680" t="s">
        <v>273</v>
      </c>
      <c r="AB19" s="680" t="s">
        <v>446</v>
      </c>
      <c r="AD19" s="680" t="s">
        <v>274</v>
      </c>
      <c r="AF19" s="614" t="s">
        <v>275</v>
      </c>
      <c r="AI19" s="678" t="s">
        <v>276</v>
      </c>
    </row>
    <row r="20" spans="1:35" ht="15" customHeight="1">
      <c r="A20" s="596"/>
      <c r="B20" s="606"/>
      <c r="C20" s="606"/>
      <c r="D20" s="606"/>
      <c r="E20" s="606"/>
      <c r="F20" s="606"/>
      <c r="G20" s="607">
        <v>2</v>
      </c>
      <c r="H20" s="679" t="s">
        <v>278</v>
      </c>
      <c r="M20" s="610" t="s">
        <v>447</v>
      </c>
      <c r="P20" s="615"/>
      <c r="X20" s="616" t="s">
        <v>277</v>
      </c>
      <c r="Z20" s="597" t="s">
        <v>269</v>
      </c>
      <c r="AB20" s="616" t="s">
        <v>448</v>
      </c>
      <c r="AD20" s="597" t="s">
        <v>276</v>
      </c>
      <c r="AF20" s="597" t="s">
        <v>449</v>
      </c>
      <c r="AI20" s="678" t="s">
        <v>450</v>
      </c>
    </row>
    <row r="21" spans="3:35" ht="15" customHeight="1">
      <c r="C21" s="606"/>
      <c r="D21" s="606"/>
      <c r="E21" s="606"/>
      <c r="F21" s="606"/>
      <c r="G21" s="607">
        <v>3</v>
      </c>
      <c r="H21" s="679" t="s">
        <v>535</v>
      </c>
      <c r="M21" s="610" t="s">
        <v>451</v>
      </c>
      <c r="P21" s="615"/>
      <c r="Q21" s="609"/>
      <c r="R21" s="609"/>
      <c r="S21" s="609"/>
      <c r="T21" s="609"/>
      <c r="U21" s="609"/>
      <c r="V21" s="609"/>
      <c r="W21" s="609"/>
      <c r="X21" s="616" t="s">
        <v>279</v>
      </c>
      <c r="Z21" s="597" t="s">
        <v>280</v>
      </c>
      <c r="AB21" s="616" t="s">
        <v>452</v>
      </c>
      <c r="AD21" s="597" t="s">
        <v>281</v>
      </c>
      <c r="AF21" s="597" t="s">
        <v>453</v>
      </c>
      <c r="AI21" s="678" t="s">
        <v>454</v>
      </c>
    </row>
    <row r="22" spans="2:32" ht="15" customHeight="1">
      <c r="B22" s="679"/>
      <c r="C22" s="606"/>
      <c r="D22" s="606"/>
      <c r="E22" s="606"/>
      <c r="F22" s="606"/>
      <c r="G22" s="607">
        <v>4</v>
      </c>
      <c r="H22" s="679" t="s">
        <v>461</v>
      </c>
      <c r="M22" s="610" t="s">
        <v>455</v>
      </c>
      <c r="R22" s="609"/>
      <c r="S22" s="609"/>
      <c r="T22" s="609"/>
      <c r="U22" s="609"/>
      <c r="V22" s="609"/>
      <c r="W22" s="609"/>
      <c r="X22" s="616" t="s">
        <v>282</v>
      </c>
      <c r="Z22" s="597" t="s">
        <v>283</v>
      </c>
      <c r="AB22" s="616" t="s">
        <v>456</v>
      </c>
      <c r="AD22" s="597" t="s">
        <v>284</v>
      </c>
      <c r="AF22" s="597" t="s">
        <v>285</v>
      </c>
    </row>
    <row r="23" spans="1:33" ht="15" customHeight="1">
      <c r="A23" s="608"/>
      <c r="C23" s="606"/>
      <c r="D23" s="606"/>
      <c r="E23" s="606"/>
      <c r="F23" s="606"/>
      <c r="G23" s="607">
        <v>5</v>
      </c>
      <c r="H23" s="679" t="s">
        <v>559</v>
      </c>
      <c r="M23" s="610" t="s">
        <v>571</v>
      </c>
      <c r="O23" s="612"/>
      <c r="R23" s="609"/>
      <c r="S23" s="609"/>
      <c r="T23" s="609"/>
      <c r="U23" s="609"/>
      <c r="V23" s="609"/>
      <c r="W23" s="609"/>
      <c r="X23" s="602" t="s">
        <v>267</v>
      </c>
      <c r="Y23" s="603"/>
      <c r="Z23" s="602" t="s">
        <v>267</v>
      </c>
      <c r="AA23" s="603" t="s">
        <v>457</v>
      </c>
      <c r="AB23" s="602" t="s">
        <v>267</v>
      </c>
      <c r="AC23" s="603" t="s">
        <v>458</v>
      </c>
      <c r="AD23" s="602" t="s">
        <v>267</v>
      </c>
      <c r="AE23" s="603" t="s">
        <v>459</v>
      </c>
      <c r="AF23" s="602" t="s">
        <v>267</v>
      </c>
      <c r="AG23" s="603" t="s">
        <v>460</v>
      </c>
    </row>
    <row r="24" spans="1:34" ht="15" customHeight="1">
      <c r="A24" s="608"/>
      <c r="B24" s="606"/>
      <c r="C24" s="606"/>
      <c r="D24" s="606"/>
      <c r="E24" s="606"/>
      <c r="F24" s="606"/>
      <c r="G24" s="607">
        <v>6</v>
      </c>
      <c r="H24" s="679" t="s">
        <v>569</v>
      </c>
      <c r="M24" s="610" t="s">
        <v>571</v>
      </c>
      <c r="N24" s="611"/>
      <c r="Q24" s="609"/>
      <c r="R24" s="609"/>
      <c r="S24" s="609"/>
      <c r="T24" s="609"/>
      <c r="U24" s="609"/>
      <c r="V24" s="609"/>
      <c r="W24" s="609"/>
      <c r="X24" s="609"/>
      <c r="AH24" s="597"/>
    </row>
    <row r="25" spans="1:34" ht="15" customHeight="1">
      <c r="A25" s="608"/>
      <c r="B25" s="606"/>
      <c r="C25" s="606"/>
      <c r="D25" s="606"/>
      <c r="E25" s="606"/>
      <c r="G25" s="607">
        <v>7</v>
      </c>
      <c r="H25" s="602" t="s">
        <v>417</v>
      </c>
      <c r="M25" s="610" t="s">
        <v>462</v>
      </c>
      <c r="R25" s="609"/>
      <c r="S25" s="609"/>
      <c r="T25" s="609"/>
      <c r="U25" s="609"/>
      <c r="V25" s="609"/>
      <c r="W25" s="609"/>
      <c r="X25" s="599" t="s">
        <v>463</v>
      </c>
      <c r="Y25" s="603"/>
      <c r="Z25" s="676" t="s">
        <v>287</v>
      </c>
      <c r="AA25" s="603"/>
      <c r="AB25" s="617" t="s">
        <v>417</v>
      </c>
      <c r="AC25" s="603"/>
      <c r="AD25" s="614" t="s">
        <v>288</v>
      </c>
      <c r="AE25" s="603"/>
      <c r="AF25" s="617" t="s">
        <v>464</v>
      </c>
      <c r="AG25" s="603"/>
      <c r="AH25" s="603"/>
    </row>
    <row r="26" spans="1:32" ht="15" customHeight="1">
      <c r="A26" s="596"/>
      <c r="B26" s="606"/>
      <c r="C26" s="606"/>
      <c r="D26" s="606"/>
      <c r="E26" s="606"/>
      <c r="F26" s="606"/>
      <c r="G26" s="607"/>
      <c r="H26" s="602"/>
      <c r="M26" s="610"/>
      <c r="P26" s="615"/>
      <c r="Q26" s="609"/>
      <c r="R26" s="609"/>
      <c r="S26" s="609"/>
      <c r="T26" s="609"/>
      <c r="U26" s="609"/>
      <c r="V26" s="609"/>
      <c r="W26" s="609"/>
      <c r="X26" s="601" t="s">
        <v>465</v>
      </c>
      <c r="Z26" s="601" t="s">
        <v>466</v>
      </c>
      <c r="AB26" s="597" t="s">
        <v>289</v>
      </c>
      <c r="AD26" s="597" t="s">
        <v>467</v>
      </c>
      <c r="AF26" s="597" t="s">
        <v>422</v>
      </c>
    </row>
    <row r="27" spans="1:32" ht="15" customHeight="1">
      <c r="A27" s="596"/>
      <c r="C27" s="606"/>
      <c r="D27" s="606"/>
      <c r="E27" s="606"/>
      <c r="F27" s="606"/>
      <c r="G27" s="607"/>
      <c r="H27" s="602"/>
      <c r="M27" s="610"/>
      <c r="O27" s="612"/>
      <c r="P27" s="615"/>
      <c r="Q27" s="609"/>
      <c r="R27" s="609"/>
      <c r="S27" s="609"/>
      <c r="T27" s="609"/>
      <c r="U27" s="609"/>
      <c r="V27" s="609"/>
      <c r="W27" s="609"/>
      <c r="X27" s="601" t="s">
        <v>468</v>
      </c>
      <c r="Z27" s="601" t="s">
        <v>469</v>
      </c>
      <c r="AB27" s="597" t="s">
        <v>290</v>
      </c>
      <c r="AD27" s="597" t="s">
        <v>470</v>
      </c>
      <c r="AF27" s="597" t="s">
        <v>426</v>
      </c>
    </row>
    <row r="28" spans="7:40" ht="15" customHeight="1">
      <c r="G28" s="607"/>
      <c r="H28" s="602"/>
      <c r="M28" s="610"/>
      <c r="O28" s="612"/>
      <c r="P28" s="615"/>
      <c r="Q28" s="609"/>
      <c r="X28" s="601" t="s">
        <v>471</v>
      </c>
      <c r="Z28" s="601" t="s">
        <v>472</v>
      </c>
      <c r="AB28" s="597" t="s">
        <v>282</v>
      </c>
      <c r="AD28" s="597" t="s">
        <v>291</v>
      </c>
      <c r="AF28" s="597" t="s">
        <v>431</v>
      </c>
      <c r="AK28" s="600"/>
      <c r="AL28" s="603" t="s">
        <v>275</v>
      </c>
      <c r="AM28" s="617" t="s">
        <v>292</v>
      </c>
      <c r="AN28" s="614" t="s">
        <v>288</v>
      </c>
    </row>
    <row r="29" spans="7:40" ht="15" customHeight="1">
      <c r="G29" s="607"/>
      <c r="H29" s="602"/>
      <c r="M29" s="610"/>
      <c r="O29" s="612"/>
      <c r="P29" s="615"/>
      <c r="Q29" s="609"/>
      <c r="X29" s="603" t="s">
        <v>267</v>
      </c>
      <c r="Y29" s="603" t="s">
        <v>473</v>
      </c>
      <c r="Z29" s="603" t="s">
        <v>267</v>
      </c>
      <c r="AA29" s="603">
        <v>2414703</v>
      </c>
      <c r="AB29" s="603" t="s">
        <v>267</v>
      </c>
      <c r="AC29" s="603" t="s">
        <v>474</v>
      </c>
      <c r="AD29" s="603" t="s">
        <v>267</v>
      </c>
      <c r="AF29" s="603" t="s">
        <v>267</v>
      </c>
      <c r="AG29" s="603"/>
      <c r="AL29" s="597" t="s">
        <v>475</v>
      </c>
      <c r="AM29" s="597" t="s">
        <v>293</v>
      </c>
      <c r="AN29" s="597" t="s">
        <v>294</v>
      </c>
    </row>
    <row r="30" spans="2:40" ht="15" customHeight="1">
      <c r="B30" s="602" t="s">
        <v>295</v>
      </c>
      <c r="H30" s="618" t="s">
        <v>559</v>
      </c>
      <c r="P30" s="612"/>
      <c r="Q30" s="609"/>
      <c r="Z30" s="601"/>
      <c r="AC30" s="603" t="s">
        <v>476</v>
      </c>
      <c r="AD30" s="601"/>
      <c r="AF30" s="597"/>
      <c r="AL30" s="597" t="s">
        <v>477</v>
      </c>
      <c r="AM30" s="597" t="s">
        <v>478</v>
      </c>
      <c r="AN30" s="597" t="s">
        <v>479</v>
      </c>
    </row>
    <row r="31" spans="7:40" ht="15" customHeight="1">
      <c r="G31" s="607"/>
      <c r="P31" s="612"/>
      <c r="Q31" s="609"/>
      <c r="Z31" s="601"/>
      <c r="AD31" s="601"/>
      <c r="AF31" s="597"/>
      <c r="AL31" s="597" t="s">
        <v>285</v>
      </c>
      <c r="AM31" s="597" t="s">
        <v>296</v>
      </c>
      <c r="AN31" s="597" t="s">
        <v>291</v>
      </c>
    </row>
    <row r="32" spans="1:40" ht="16.5">
      <c r="A32" s="619" t="s">
        <v>572</v>
      </c>
      <c r="B32"/>
      <c r="C32"/>
      <c r="D32"/>
      <c r="E32"/>
      <c r="F32"/>
      <c r="O32" s="612"/>
      <c r="P32" s="615"/>
      <c r="R32"/>
      <c r="S32"/>
      <c r="T32"/>
      <c r="U32"/>
      <c r="V32"/>
      <c r="W32"/>
      <c r="X32" s="680" t="s">
        <v>480</v>
      </c>
      <c r="Z32" s="599" t="s">
        <v>297</v>
      </c>
      <c r="AA32" s="606"/>
      <c r="AB32" s="599" t="s">
        <v>481</v>
      </c>
      <c r="AC32" s="603"/>
      <c r="AD32" s="600" t="s">
        <v>298</v>
      </c>
      <c r="AE32" s="603"/>
      <c r="AF32" s="600" t="s">
        <v>482</v>
      </c>
      <c r="AG32" s="609"/>
      <c r="AM32" s="597"/>
      <c r="AN32" s="597"/>
    </row>
    <row r="33" spans="1:40" ht="15" customHeight="1">
      <c r="A33" s="620"/>
      <c r="B33" s="612"/>
      <c r="C33" s="612"/>
      <c r="D33" s="612"/>
      <c r="E33" s="612"/>
      <c r="F33" s="612"/>
      <c r="G33"/>
      <c r="H33"/>
      <c r="I33"/>
      <c r="J33"/>
      <c r="K33"/>
      <c r="L33"/>
      <c r="M33"/>
      <c r="N33"/>
      <c r="O33"/>
      <c r="P33"/>
      <c r="Q33"/>
      <c r="R33" s="612"/>
      <c r="X33" s="616" t="s">
        <v>483</v>
      </c>
      <c r="Z33" s="601" t="s">
        <v>261</v>
      </c>
      <c r="AA33" s="597"/>
      <c r="AB33" s="601" t="s">
        <v>435</v>
      </c>
      <c r="AD33" s="597" t="s">
        <v>484</v>
      </c>
      <c r="AF33" s="616" t="s">
        <v>293</v>
      </c>
      <c r="AG33" s="609"/>
      <c r="AM33" s="603" t="s">
        <v>485</v>
      </c>
      <c r="AN33" s="603" t="s">
        <v>486</v>
      </c>
    </row>
    <row r="34" spans="1:33" ht="15" customHeight="1">
      <c r="A34" s="583"/>
      <c r="G34" s="612"/>
      <c r="I34" s="612"/>
      <c r="J34" s="612"/>
      <c r="K34" s="612"/>
      <c r="L34" s="612"/>
      <c r="M34" s="612"/>
      <c r="N34" s="612"/>
      <c r="O34" s="612"/>
      <c r="P34" s="612"/>
      <c r="Q34" s="612"/>
      <c r="X34" s="616" t="s">
        <v>487</v>
      </c>
      <c r="Z34" s="601" t="s">
        <v>488</v>
      </c>
      <c r="AA34" s="597"/>
      <c r="AB34" s="601" t="s">
        <v>489</v>
      </c>
      <c r="AD34" s="597" t="s">
        <v>490</v>
      </c>
      <c r="AF34" s="616" t="s">
        <v>299</v>
      </c>
      <c r="AG34" s="609"/>
    </row>
    <row r="35" spans="1:32" ht="15" customHeight="1">
      <c r="A35" s="596" t="s">
        <v>491</v>
      </c>
      <c r="H35" s="612"/>
      <c r="X35" s="616" t="s">
        <v>492</v>
      </c>
      <c r="Z35" s="601" t="s">
        <v>300</v>
      </c>
      <c r="AA35" s="597"/>
      <c r="AB35" s="601" t="s">
        <v>493</v>
      </c>
      <c r="AD35" s="597" t="s">
        <v>291</v>
      </c>
      <c r="AF35" s="616" t="s">
        <v>296</v>
      </c>
    </row>
    <row r="36" spans="1:33" ht="15" customHeight="1">
      <c r="A36" s="583"/>
      <c r="H36" s="612"/>
      <c r="X36" s="602" t="s">
        <v>267</v>
      </c>
      <c r="Y36" s="603" t="s">
        <v>494</v>
      </c>
      <c r="Z36" s="603" t="s">
        <v>267</v>
      </c>
      <c r="AA36" s="603" t="s">
        <v>495</v>
      </c>
      <c r="AB36" s="603" t="s">
        <v>267</v>
      </c>
      <c r="AC36" s="603" t="s">
        <v>496</v>
      </c>
      <c r="AD36" s="603" t="s">
        <v>267</v>
      </c>
      <c r="AE36" s="603" t="s">
        <v>497</v>
      </c>
      <c r="AF36" s="603"/>
      <c r="AG36" s="603"/>
    </row>
    <row r="37" spans="1:29" s="622" customFormat="1" ht="15" customHeight="1">
      <c r="A37" s="621" t="s">
        <v>301</v>
      </c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X37" s="602"/>
      <c r="Z37" s="603" t="s">
        <v>440</v>
      </c>
      <c r="AA37" s="603" t="s">
        <v>441</v>
      </c>
      <c r="AB37" s="603" t="s">
        <v>440</v>
      </c>
      <c r="AC37" s="603" t="s">
        <v>498</v>
      </c>
    </row>
    <row r="38" spans="1:28" s="622" customFormat="1" ht="15" customHeight="1">
      <c r="A38" s="621" t="s">
        <v>302</v>
      </c>
      <c r="AA38" s="677"/>
      <c r="AB38" s="677"/>
    </row>
    <row r="39" spans="1:32" s="622" customFormat="1" ht="15" customHeight="1">
      <c r="A39" s="621" t="s">
        <v>573</v>
      </c>
      <c r="X39" s="600" t="s">
        <v>303</v>
      </c>
      <c r="Z39" s="599" t="s">
        <v>304</v>
      </c>
      <c r="AA39" s="677"/>
      <c r="AB39" s="676" t="s">
        <v>305</v>
      </c>
      <c r="AD39" s="613" t="s">
        <v>286</v>
      </c>
      <c r="AF39" s="681" t="s">
        <v>499</v>
      </c>
    </row>
    <row r="40" spans="1:32" s="622" customFormat="1" ht="15" customHeight="1">
      <c r="A40" s="623"/>
      <c r="X40" s="597" t="s">
        <v>454</v>
      </c>
      <c r="Z40" s="601" t="s">
        <v>306</v>
      </c>
      <c r="AA40" s="677"/>
      <c r="AB40" s="624" t="s">
        <v>307</v>
      </c>
      <c r="AD40" s="616" t="s">
        <v>308</v>
      </c>
      <c r="AF40" s="616" t="s">
        <v>500</v>
      </c>
    </row>
    <row r="41" spans="1:32" s="622" customFormat="1" ht="15" customHeight="1">
      <c r="A41" s="623" t="s">
        <v>309</v>
      </c>
      <c r="X41" s="597" t="s">
        <v>310</v>
      </c>
      <c r="Z41" s="601" t="s">
        <v>311</v>
      </c>
      <c r="AA41" s="677"/>
      <c r="AB41" s="624" t="s">
        <v>312</v>
      </c>
      <c r="AD41" s="616" t="s">
        <v>313</v>
      </c>
      <c r="AF41" s="616" t="s">
        <v>501</v>
      </c>
    </row>
    <row r="42" spans="1:32" s="622" customFormat="1" ht="15" customHeight="1">
      <c r="A42" s="623" t="s">
        <v>314</v>
      </c>
      <c r="X42" s="597" t="s">
        <v>315</v>
      </c>
      <c r="Z42" s="601" t="s">
        <v>316</v>
      </c>
      <c r="AA42" s="678"/>
      <c r="AB42" s="616" t="s">
        <v>317</v>
      </c>
      <c r="AD42" s="616" t="s">
        <v>502</v>
      </c>
      <c r="AF42" s="616" t="s">
        <v>503</v>
      </c>
    </row>
    <row r="43" spans="1:32" s="622" customFormat="1" ht="15" customHeight="1">
      <c r="A43" s="623" t="s">
        <v>318</v>
      </c>
      <c r="X43" s="580" t="s">
        <v>319</v>
      </c>
      <c r="Z43" s="622" t="s">
        <v>320</v>
      </c>
      <c r="AA43" s="678"/>
      <c r="AB43" s="678" t="s">
        <v>504</v>
      </c>
      <c r="AF43" s="622" t="s">
        <v>505</v>
      </c>
    </row>
    <row r="44" spans="1:28" s="622" customFormat="1" ht="15" customHeight="1">
      <c r="A44" s="625"/>
      <c r="Z44" s="622" t="s">
        <v>321</v>
      </c>
      <c r="AA44" s="678"/>
      <c r="AB44" s="678"/>
    </row>
    <row r="45" spans="1:28" s="622" customFormat="1" ht="15" customHeight="1">
      <c r="A45" s="623" t="s">
        <v>322</v>
      </c>
      <c r="D45" s="602" t="s">
        <v>323</v>
      </c>
      <c r="AA45" s="678"/>
      <c r="AB45" s="678"/>
    </row>
    <row r="46" spans="1:32" s="622" customFormat="1" ht="15" customHeight="1">
      <c r="A46" s="625"/>
      <c r="X46" s="600" t="s">
        <v>506</v>
      </c>
      <c r="Z46" s="599" t="s">
        <v>463</v>
      </c>
      <c r="AA46" s="678"/>
      <c r="AB46" s="627" t="s">
        <v>258</v>
      </c>
      <c r="AD46" s="599" t="s">
        <v>507</v>
      </c>
      <c r="AF46" s="600" t="s">
        <v>303</v>
      </c>
    </row>
    <row r="47" spans="1:32" s="622" customFormat="1" ht="15" customHeight="1">
      <c r="A47" s="625"/>
      <c r="D47" s="602" t="s">
        <v>324</v>
      </c>
      <c r="X47" s="597" t="s">
        <v>508</v>
      </c>
      <c r="Z47" s="624" t="s">
        <v>509</v>
      </c>
      <c r="AA47" s="678"/>
      <c r="AB47" s="601" t="s">
        <v>510</v>
      </c>
      <c r="AD47" s="601" t="s">
        <v>325</v>
      </c>
      <c r="AF47" s="597" t="s">
        <v>511</v>
      </c>
    </row>
    <row r="48" spans="1:32" s="622" customFormat="1" ht="15" customHeight="1">
      <c r="A48" s="625"/>
      <c r="X48" s="597" t="s">
        <v>512</v>
      </c>
      <c r="Z48" s="624" t="s">
        <v>513</v>
      </c>
      <c r="AB48" s="601" t="s">
        <v>514</v>
      </c>
      <c r="AD48" s="601" t="s">
        <v>515</v>
      </c>
      <c r="AF48" s="597" t="s">
        <v>516</v>
      </c>
    </row>
    <row r="49" spans="1:32" s="622" customFormat="1" ht="15" customHeight="1">
      <c r="A49" s="625"/>
      <c r="D49" s="602" t="s">
        <v>326</v>
      </c>
      <c r="X49" s="597" t="s">
        <v>517</v>
      </c>
      <c r="Z49" s="624" t="s">
        <v>518</v>
      </c>
      <c r="AB49" s="601" t="s">
        <v>266</v>
      </c>
      <c r="AD49" s="601" t="s">
        <v>519</v>
      </c>
      <c r="AF49" s="597" t="s">
        <v>315</v>
      </c>
    </row>
    <row r="50" spans="1:4" s="622" customFormat="1" ht="15" customHeight="1">
      <c r="A50" s="625"/>
      <c r="D50" s="602"/>
    </row>
    <row r="51" spans="1:32" s="622" customFormat="1" ht="15" customHeight="1">
      <c r="A51" s="626"/>
      <c r="M51" s="622" t="s">
        <v>327</v>
      </c>
      <c r="Y51" s="622">
        <v>51</v>
      </c>
      <c r="Z51" s="614" t="s">
        <v>275</v>
      </c>
      <c r="AB51" s="599" t="s">
        <v>463</v>
      </c>
      <c r="AD51" s="627" t="s">
        <v>520</v>
      </c>
      <c r="AF51" s="600" t="s">
        <v>328</v>
      </c>
    </row>
    <row r="52" spans="1:32" s="622" customFormat="1" ht="15" customHeight="1">
      <c r="A52" s="625"/>
      <c r="Z52" s="597" t="s">
        <v>329</v>
      </c>
      <c r="AB52" s="682" t="s">
        <v>521</v>
      </c>
      <c r="AD52" s="601" t="s">
        <v>522</v>
      </c>
      <c r="AF52" s="597" t="s">
        <v>330</v>
      </c>
    </row>
    <row r="53" spans="1:32" s="622" customFormat="1" ht="15" customHeight="1">
      <c r="A53" s="596"/>
      <c r="B53" s="580"/>
      <c r="C53" s="580"/>
      <c r="D53" s="580"/>
      <c r="E53" s="587"/>
      <c r="F53" s="587"/>
      <c r="G53" s="580"/>
      <c r="H53" s="580"/>
      <c r="I53" s="621" t="s">
        <v>331</v>
      </c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Z53" s="597" t="s">
        <v>332</v>
      </c>
      <c r="AB53" s="682" t="s">
        <v>523</v>
      </c>
      <c r="AD53" s="601" t="s">
        <v>524</v>
      </c>
      <c r="AF53" s="597" t="s">
        <v>262</v>
      </c>
    </row>
    <row r="54" spans="2:32" ht="20.25">
      <c r="B54" s="704" t="s">
        <v>333</v>
      </c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6"/>
      <c r="P54" s="683"/>
      <c r="Q54" s="683"/>
      <c r="Z54" s="597" t="s">
        <v>285</v>
      </c>
      <c r="AB54" s="682" t="s">
        <v>518</v>
      </c>
      <c r="AD54" s="601" t="s">
        <v>525</v>
      </c>
      <c r="AF54" s="597" t="s">
        <v>264</v>
      </c>
    </row>
    <row r="55" spans="1:26" ht="15" customHeight="1">
      <c r="A55" s="596"/>
      <c r="B55" s="606"/>
      <c r="C55" s="606"/>
      <c r="D55" s="606"/>
      <c r="E55" s="605"/>
      <c r="F55" s="605"/>
      <c r="G55" s="684"/>
      <c r="H55" s="685"/>
      <c r="I55" s="684"/>
      <c r="J55" s="684"/>
      <c r="K55" s="684"/>
      <c r="L55" s="684"/>
      <c r="M55" s="684"/>
      <c r="N55" s="684"/>
      <c r="O55" s="684"/>
      <c r="P55" s="684"/>
      <c r="R55" s="606"/>
      <c r="Y55" s="628">
        <v>1</v>
      </c>
      <c r="Z55" s="628"/>
    </row>
    <row r="56" spans="1:26" ht="15" customHeight="1">
      <c r="A56" s="596"/>
      <c r="B56" s="606"/>
      <c r="C56" s="606"/>
      <c r="D56" s="606"/>
      <c r="E56" s="606"/>
      <c r="F56" s="606"/>
      <c r="G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  <c r="Y56" s="628">
        <f aca="true" t="shared" si="0" ref="Y56:Y68">Y55+1</f>
        <v>2</v>
      </c>
      <c r="Z56" s="628"/>
    </row>
    <row r="57" spans="1:32" ht="15" customHeight="1">
      <c r="A57" s="596" t="s">
        <v>334</v>
      </c>
      <c r="B57" s="606"/>
      <c r="C57" s="606"/>
      <c r="D57" s="606"/>
      <c r="E57" s="606" t="s">
        <v>335</v>
      </c>
      <c r="F57" s="606"/>
      <c r="G57" s="606"/>
      <c r="H57" s="707">
        <v>41692</v>
      </c>
      <c r="I57" s="707"/>
      <c r="J57" s="707"/>
      <c r="K57" s="707"/>
      <c r="L57" s="606"/>
      <c r="M57" s="606"/>
      <c r="N57" s="606"/>
      <c r="O57" s="606"/>
      <c r="P57" s="606"/>
      <c r="Q57" s="606"/>
      <c r="Y57" s="628">
        <f t="shared" si="0"/>
        <v>3</v>
      </c>
      <c r="Z57" s="614" t="s">
        <v>336</v>
      </c>
      <c r="AB57" s="599" t="s">
        <v>337</v>
      </c>
      <c r="AD57" s="600" t="s">
        <v>526</v>
      </c>
      <c r="AF57" s="617" t="s">
        <v>527</v>
      </c>
    </row>
    <row r="58" spans="1:32" ht="15" customHeight="1">
      <c r="A58" s="596"/>
      <c r="B58" s="606"/>
      <c r="C58" s="606"/>
      <c r="D58" s="606"/>
      <c r="E58" s="606" t="s">
        <v>390</v>
      </c>
      <c r="F58" s="606"/>
      <c r="G58" s="606"/>
      <c r="H58" s="707">
        <v>41693</v>
      </c>
      <c r="I58" s="707"/>
      <c r="J58" s="707"/>
      <c r="K58" s="707"/>
      <c r="L58" s="606"/>
      <c r="M58" s="606"/>
      <c r="N58" s="606"/>
      <c r="R58" s="606"/>
      <c r="Y58" s="628">
        <f t="shared" si="0"/>
        <v>4</v>
      </c>
      <c r="Z58" s="616" t="s">
        <v>338</v>
      </c>
      <c r="AB58" s="682" t="s">
        <v>528</v>
      </c>
      <c r="AD58" s="597" t="s">
        <v>339</v>
      </c>
      <c r="AF58" s="597" t="s">
        <v>529</v>
      </c>
    </row>
    <row r="59" spans="1:32" ht="15" customHeight="1">
      <c r="A59" s="596"/>
      <c r="B59" s="606"/>
      <c r="C59" s="606"/>
      <c r="D59" s="606"/>
      <c r="E59" s="606"/>
      <c r="F59" s="606"/>
      <c r="G59" s="606"/>
      <c r="L59" s="606"/>
      <c r="M59" s="606"/>
      <c r="N59" s="606"/>
      <c r="O59" s="606"/>
      <c r="P59" s="606"/>
      <c r="Q59" s="606"/>
      <c r="R59" s="606"/>
      <c r="Y59" s="628">
        <f t="shared" si="0"/>
        <v>5</v>
      </c>
      <c r="Z59" s="616" t="s">
        <v>340</v>
      </c>
      <c r="AB59" s="682" t="s">
        <v>530</v>
      </c>
      <c r="AD59" s="597" t="s">
        <v>341</v>
      </c>
      <c r="AF59" s="597" t="s">
        <v>531</v>
      </c>
    </row>
    <row r="60" spans="1:32" ht="15" customHeight="1">
      <c r="A60" s="596" t="s">
        <v>342</v>
      </c>
      <c r="B60" s="606"/>
      <c r="C60" s="606"/>
      <c r="D60" s="606"/>
      <c r="E60" s="643" t="s">
        <v>564</v>
      </c>
      <c r="F60" s="606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6"/>
      <c r="R60" s="606"/>
      <c r="Y60" s="628">
        <f t="shared" si="0"/>
        <v>6</v>
      </c>
      <c r="Z60" s="616" t="s">
        <v>343</v>
      </c>
      <c r="AB60" s="682" t="s">
        <v>532</v>
      </c>
      <c r="AD60" s="597" t="s">
        <v>344</v>
      </c>
      <c r="AF60" s="597" t="s">
        <v>533</v>
      </c>
    </row>
    <row r="61" spans="1:26" ht="15" customHeight="1">
      <c r="A61" s="596"/>
      <c r="B61" s="606"/>
      <c r="C61" s="606"/>
      <c r="D61" s="606"/>
      <c r="E61" s="643"/>
      <c r="F61" s="606"/>
      <c r="G61" s="606"/>
      <c r="H61" s="606"/>
      <c r="I61" s="606"/>
      <c r="J61" s="606"/>
      <c r="K61" s="606"/>
      <c r="L61" s="606"/>
      <c r="M61" s="606"/>
      <c r="N61" s="606"/>
      <c r="O61" s="606"/>
      <c r="P61" s="606"/>
      <c r="Q61" s="606"/>
      <c r="R61" s="606"/>
      <c r="Y61" s="628">
        <f t="shared" si="0"/>
        <v>7</v>
      </c>
      <c r="Z61" s="628"/>
    </row>
    <row r="62" spans="1:32" ht="15" customHeight="1">
      <c r="A62" s="596"/>
      <c r="B62" s="606"/>
      <c r="C62" s="606"/>
      <c r="D62" s="606"/>
      <c r="E62" s="606"/>
      <c r="F62" s="606"/>
      <c r="G62" s="606"/>
      <c r="H62" s="606"/>
      <c r="I62" s="606"/>
      <c r="J62" s="606"/>
      <c r="K62" s="606"/>
      <c r="L62" s="606"/>
      <c r="M62" s="606"/>
      <c r="N62" s="606"/>
      <c r="O62" s="606"/>
      <c r="P62" s="606"/>
      <c r="Q62" s="606"/>
      <c r="R62" s="606"/>
      <c r="Y62" s="628">
        <f t="shared" si="0"/>
        <v>8</v>
      </c>
      <c r="Z62" s="600" t="s">
        <v>328</v>
      </c>
      <c r="AB62" s="600" t="s">
        <v>534</v>
      </c>
      <c r="AD62" s="617" t="s">
        <v>328</v>
      </c>
      <c r="AF62" s="617" t="s">
        <v>535</v>
      </c>
    </row>
    <row r="63" spans="1:32" ht="15" customHeight="1">
      <c r="A63" s="596" t="s">
        <v>345</v>
      </c>
      <c r="B63" s="606"/>
      <c r="C63" s="606"/>
      <c r="D63" s="606"/>
      <c r="E63" s="606" t="s">
        <v>391</v>
      </c>
      <c r="F63" s="606"/>
      <c r="G63" s="606"/>
      <c r="H63" s="606"/>
      <c r="I63" s="606"/>
      <c r="J63" s="606"/>
      <c r="K63" s="606"/>
      <c r="L63" s="606"/>
      <c r="M63" s="606"/>
      <c r="N63" s="606"/>
      <c r="O63" s="606"/>
      <c r="P63" s="606"/>
      <c r="Q63" s="606"/>
      <c r="R63" s="606"/>
      <c r="Y63" s="628">
        <f t="shared" si="0"/>
        <v>9</v>
      </c>
      <c r="Z63" s="597" t="s">
        <v>346</v>
      </c>
      <c r="AB63" s="597" t="s">
        <v>536</v>
      </c>
      <c r="AD63" s="597" t="s">
        <v>537</v>
      </c>
      <c r="AF63" s="597" t="s">
        <v>538</v>
      </c>
    </row>
    <row r="64" spans="1:32" ht="15" customHeight="1">
      <c r="A64" s="596"/>
      <c r="B64" s="606"/>
      <c r="C64" s="606"/>
      <c r="D64" s="606"/>
      <c r="E64" s="606"/>
      <c r="F64" s="606"/>
      <c r="G64" s="606"/>
      <c r="H64" s="606"/>
      <c r="I64" s="606"/>
      <c r="J64" s="606"/>
      <c r="K64" s="606"/>
      <c r="L64" s="606"/>
      <c r="M64" s="606"/>
      <c r="N64" s="606"/>
      <c r="O64" s="606"/>
      <c r="P64" s="606"/>
      <c r="Q64" s="606"/>
      <c r="R64" s="606"/>
      <c r="Y64" s="628">
        <f t="shared" si="0"/>
        <v>10</v>
      </c>
      <c r="Z64" s="597" t="s">
        <v>347</v>
      </c>
      <c r="AB64" s="597" t="s">
        <v>539</v>
      </c>
      <c r="AD64" s="597" t="s">
        <v>262</v>
      </c>
      <c r="AF64" s="597" t="s">
        <v>540</v>
      </c>
    </row>
    <row r="65" spans="1:32" ht="15" customHeight="1">
      <c r="A65" s="596" t="s">
        <v>348</v>
      </c>
      <c r="B65" s="606"/>
      <c r="C65" s="606"/>
      <c r="D65" s="606"/>
      <c r="E65" s="606" t="s">
        <v>349</v>
      </c>
      <c r="F65" s="606"/>
      <c r="G65" s="606"/>
      <c r="H65" s="606"/>
      <c r="I65" s="606"/>
      <c r="J65" s="606"/>
      <c r="K65" s="606"/>
      <c r="L65" s="606"/>
      <c r="M65" s="606"/>
      <c r="N65" s="606"/>
      <c r="O65" s="605"/>
      <c r="P65" s="606"/>
      <c r="Q65" s="606"/>
      <c r="R65" s="606"/>
      <c r="Y65" s="628">
        <f t="shared" si="0"/>
        <v>11</v>
      </c>
      <c r="Z65" s="597" t="s">
        <v>264</v>
      </c>
      <c r="AB65" s="597" t="s">
        <v>541</v>
      </c>
      <c r="AD65" s="597" t="s">
        <v>264</v>
      </c>
      <c r="AF65" s="597" t="s">
        <v>542</v>
      </c>
    </row>
    <row r="66" spans="1:28" ht="15" customHeight="1">
      <c r="A66" s="596"/>
      <c r="B66" s="606"/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6"/>
      <c r="N66" s="606"/>
      <c r="O66" s="606"/>
      <c r="P66" s="606"/>
      <c r="Q66" s="606"/>
      <c r="R66" s="606"/>
      <c r="Y66" s="628">
        <f t="shared" si="0"/>
        <v>12</v>
      </c>
      <c r="Z66" s="628"/>
      <c r="AB66" s="603" t="s">
        <v>543</v>
      </c>
    </row>
    <row r="67" spans="1:26" ht="15" customHeight="1">
      <c r="A67" s="596" t="s">
        <v>350</v>
      </c>
      <c r="B67" s="606"/>
      <c r="C67" s="606"/>
      <c r="D67" s="606"/>
      <c r="E67" s="606" t="s">
        <v>563</v>
      </c>
      <c r="F67" s="606"/>
      <c r="G67" s="606"/>
      <c r="H67" s="606"/>
      <c r="I67" s="606"/>
      <c r="J67" s="606"/>
      <c r="K67" s="606"/>
      <c r="L67" s="606"/>
      <c r="M67" s="606"/>
      <c r="N67" s="606"/>
      <c r="O67" s="606"/>
      <c r="P67" s="606"/>
      <c r="Q67" s="606"/>
      <c r="R67" s="606"/>
      <c r="Y67" s="628">
        <f t="shared" si="0"/>
        <v>13</v>
      </c>
      <c r="Z67" s="628"/>
    </row>
    <row r="68" spans="1:26" ht="15.75">
      <c r="A68" s="596"/>
      <c r="B68" s="606"/>
      <c r="C68" s="606"/>
      <c r="D68" s="606"/>
      <c r="E68" s="606"/>
      <c r="F68" s="606"/>
      <c r="G68" s="606"/>
      <c r="H68" s="606"/>
      <c r="I68" s="606"/>
      <c r="J68" s="606"/>
      <c r="K68" s="606"/>
      <c r="L68" s="606"/>
      <c r="M68" s="606"/>
      <c r="N68" s="606"/>
      <c r="O68" s="606"/>
      <c r="P68" s="606"/>
      <c r="Q68" s="606"/>
      <c r="R68" s="606"/>
      <c r="Y68" s="628">
        <f t="shared" si="0"/>
        <v>14</v>
      </c>
      <c r="Z68" s="628"/>
    </row>
    <row r="69" spans="1:25" ht="19.5" customHeight="1">
      <c r="A69" s="596" t="s">
        <v>351</v>
      </c>
      <c r="B69" s="606"/>
      <c r="C69" s="606"/>
      <c r="D69" s="606"/>
      <c r="E69" s="606" t="s">
        <v>544</v>
      </c>
      <c r="F69" s="606"/>
      <c r="G69" s="606"/>
      <c r="H69" s="606"/>
      <c r="I69" s="606"/>
      <c r="J69" s="606"/>
      <c r="K69" s="606"/>
      <c r="L69" s="606"/>
      <c r="M69" s="606"/>
      <c r="N69" s="606"/>
      <c r="O69" s="606"/>
      <c r="P69" s="606"/>
      <c r="Q69" s="606"/>
      <c r="R69" s="606"/>
      <c r="Y69" s="580">
        <v>56</v>
      </c>
    </row>
    <row r="70" spans="1:18" ht="15.75">
      <c r="A70" s="596"/>
      <c r="B70" s="606"/>
      <c r="C70" s="606"/>
      <c r="D70" s="606"/>
      <c r="E70" s="606"/>
      <c r="F70" s="606"/>
      <c r="G70" s="606"/>
      <c r="H70" s="606"/>
      <c r="I70" s="606"/>
      <c r="J70" s="606"/>
      <c r="K70" s="606"/>
      <c r="L70" s="606"/>
      <c r="M70" s="606"/>
      <c r="N70" s="606"/>
      <c r="O70" s="606"/>
      <c r="P70" s="606"/>
      <c r="Q70" s="606"/>
      <c r="R70" s="606"/>
    </row>
    <row r="71" spans="1:31" ht="15.75">
      <c r="A71" s="596" t="s">
        <v>95</v>
      </c>
      <c r="B71" s="606"/>
      <c r="C71" s="606"/>
      <c r="D71" s="606"/>
      <c r="E71" s="686" t="s">
        <v>559</v>
      </c>
      <c r="F71" s="643"/>
      <c r="G71" s="643"/>
      <c r="H71" s="643"/>
      <c r="I71" s="687"/>
      <c r="J71" s="687"/>
      <c r="K71" s="601" t="s">
        <v>560</v>
      </c>
      <c r="L71" s="643"/>
      <c r="M71" s="606"/>
      <c r="N71" s="606"/>
      <c r="O71" s="606"/>
      <c r="P71" s="606"/>
      <c r="Q71" s="606"/>
      <c r="R71" s="606"/>
      <c r="AE71" s="580">
        <v>0</v>
      </c>
    </row>
    <row r="72" spans="1:18" ht="15.75">
      <c r="A72" s="596"/>
      <c r="B72" s="606"/>
      <c r="C72" s="606"/>
      <c r="D72" s="606"/>
      <c r="E72" s="643"/>
      <c r="F72" s="643"/>
      <c r="G72" s="643"/>
      <c r="H72" s="643"/>
      <c r="I72" s="687"/>
      <c r="J72" s="687"/>
      <c r="K72" s="601" t="s">
        <v>561</v>
      </c>
      <c r="L72" s="643"/>
      <c r="M72" s="606"/>
      <c r="N72" s="606"/>
      <c r="O72" s="606"/>
      <c r="P72" s="606"/>
      <c r="Q72" s="606"/>
      <c r="R72" s="606"/>
    </row>
    <row r="73" spans="1:18" ht="15.75">
      <c r="A73" s="596"/>
      <c r="B73" s="606"/>
      <c r="C73" s="606"/>
      <c r="D73" s="606"/>
      <c r="E73" s="643"/>
      <c r="F73" s="643"/>
      <c r="G73" s="643"/>
      <c r="H73" s="643"/>
      <c r="I73" s="687"/>
      <c r="J73" s="687"/>
      <c r="K73" s="601" t="s">
        <v>562</v>
      </c>
      <c r="L73" s="643"/>
      <c r="M73" s="606"/>
      <c r="N73" s="606"/>
      <c r="O73" s="606"/>
      <c r="P73" s="606"/>
      <c r="Q73" s="606"/>
      <c r="R73" s="606"/>
    </row>
    <row r="74" spans="1:18" ht="15.75">
      <c r="A74" s="596"/>
      <c r="B74" s="606"/>
      <c r="C74" s="606"/>
      <c r="D74" s="606"/>
      <c r="E74" s="606"/>
      <c r="F74" s="606"/>
      <c r="G74" s="606"/>
      <c r="H74" s="606"/>
      <c r="I74" s="606"/>
      <c r="K74" s="602" t="s">
        <v>267</v>
      </c>
      <c r="L74" s="602"/>
      <c r="M74" s="606"/>
      <c r="N74" s="606"/>
      <c r="O74" s="606"/>
      <c r="P74" s="606"/>
      <c r="Q74" s="606"/>
      <c r="R74" s="606"/>
    </row>
    <row r="75" spans="1:18" ht="15.75">
      <c r="A75" s="596"/>
      <c r="B75" s="606"/>
      <c r="C75" s="606"/>
      <c r="D75" s="606"/>
      <c r="E75" s="606"/>
      <c r="F75" s="606"/>
      <c r="G75" s="606"/>
      <c r="H75" s="606"/>
      <c r="I75" s="606"/>
      <c r="L75" s="606"/>
      <c r="M75" s="606"/>
      <c r="N75" s="606"/>
      <c r="O75" s="606"/>
      <c r="P75" s="606"/>
      <c r="Q75" s="606"/>
      <c r="R75" s="606"/>
    </row>
    <row r="76" spans="1:18" ht="15.75">
      <c r="A76" s="596"/>
      <c r="B76" s="606"/>
      <c r="C76" s="606"/>
      <c r="D76" s="606"/>
      <c r="E76" s="606"/>
      <c r="F76" s="606"/>
      <c r="G76" s="606"/>
      <c r="H76" s="606"/>
      <c r="I76" s="606"/>
      <c r="J76" s="602"/>
      <c r="K76" s="602"/>
      <c r="L76" s="606"/>
      <c r="M76" s="606"/>
      <c r="N76" s="606"/>
      <c r="O76" s="606"/>
      <c r="P76" s="606"/>
      <c r="Q76" s="606"/>
      <c r="R76" s="606"/>
    </row>
    <row r="77" spans="1:18" ht="15.75">
      <c r="A77" s="596" t="s">
        <v>352</v>
      </c>
      <c r="B77" s="606"/>
      <c r="C77" s="606"/>
      <c r="D77" s="606"/>
      <c r="E77" s="606" t="s">
        <v>545</v>
      </c>
      <c r="F77" s="606"/>
      <c r="G77" s="606"/>
      <c r="H77" s="606"/>
      <c r="I77" s="606"/>
      <c r="J77" s="688" t="s">
        <v>574</v>
      </c>
      <c r="K77" s="606"/>
      <c r="L77" s="606"/>
      <c r="M77" s="606"/>
      <c r="N77" s="606"/>
      <c r="O77" s="606"/>
      <c r="P77" s="606"/>
      <c r="Q77" s="606"/>
      <c r="R77" s="606"/>
    </row>
    <row r="78" spans="1:18" ht="15.75">
      <c r="A78" s="596"/>
      <c r="B78" s="606"/>
      <c r="C78" s="606"/>
      <c r="D78" s="606"/>
      <c r="E78" s="606" t="s">
        <v>546</v>
      </c>
      <c r="F78" s="606"/>
      <c r="G78" s="629"/>
      <c r="I78" s="606"/>
      <c r="J78" s="606" t="s">
        <v>392</v>
      </c>
      <c r="K78" s="606"/>
      <c r="L78" s="606"/>
      <c r="M78" s="606"/>
      <c r="N78" s="606"/>
      <c r="O78" s="606"/>
      <c r="P78" s="606"/>
      <c r="Q78" s="606"/>
      <c r="R78" s="606"/>
    </row>
    <row r="79" spans="1:18" ht="15.75">
      <c r="A79" s="596"/>
      <c r="B79" s="606"/>
      <c r="C79" s="606"/>
      <c r="D79" s="606"/>
      <c r="E79" s="606"/>
      <c r="F79" s="606"/>
      <c r="G79" s="606"/>
      <c r="H79" s="606"/>
      <c r="I79" s="606"/>
      <c r="K79" s="606"/>
      <c r="L79" s="606"/>
      <c r="M79" s="606"/>
      <c r="N79" s="606"/>
      <c r="O79" s="606"/>
      <c r="P79" s="606"/>
      <c r="Q79" s="606"/>
      <c r="R79" s="606"/>
    </row>
    <row r="80" spans="1:23" ht="15.75">
      <c r="A80" s="630"/>
      <c r="B80" s="631"/>
      <c r="C80" s="631"/>
      <c r="D80" s="631"/>
      <c r="E80" s="632"/>
      <c r="F80" s="632"/>
      <c r="G80" s="606"/>
      <c r="H80" s="606"/>
      <c r="I80" s="606"/>
      <c r="J80" s="606"/>
      <c r="K80" s="606"/>
      <c r="L80" s="606"/>
      <c r="M80" s="606"/>
      <c r="N80" s="606"/>
      <c r="O80" s="606"/>
      <c r="P80" s="606"/>
      <c r="Q80" s="606"/>
      <c r="R80" s="631"/>
      <c r="S80" s="632"/>
      <c r="T80" s="632"/>
      <c r="U80" s="632"/>
      <c r="V80" s="632"/>
      <c r="W80" s="632"/>
    </row>
    <row r="81" spans="1:23" ht="15.75">
      <c r="A81" s="630" t="s">
        <v>353</v>
      </c>
      <c r="B81" s="631"/>
      <c r="C81" s="631"/>
      <c r="D81" s="631"/>
      <c r="E81" s="633" t="s">
        <v>354</v>
      </c>
      <c r="F81" s="632"/>
      <c r="G81" s="634"/>
      <c r="H81" s="631"/>
      <c r="I81" s="631"/>
      <c r="J81" s="631"/>
      <c r="K81" s="631"/>
      <c r="L81" s="631"/>
      <c r="M81" s="631"/>
      <c r="N81" s="631"/>
      <c r="O81" s="631"/>
      <c r="P81" s="631"/>
      <c r="Q81" s="631"/>
      <c r="R81" s="631"/>
      <c r="S81" s="632"/>
      <c r="T81" s="632"/>
      <c r="U81" s="632"/>
      <c r="V81" s="632"/>
      <c r="W81" s="632"/>
    </row>
    <row r="82" spans="1:23" ht="15.75">
      <c r="A82" s="630"/>
      <c r="B82" s="631"/>
      <c r="C82" s="631"/>
      <c r="D82" s="631"/>
      <c r="E82" s="635" t="s">
        <v>355</v>
      </c>
      <c r="F82" s="631"/>
      <c r="G82" s="634"/>
      <c r="H82" s="631"/>
      <c r="I82" s="631"/>
      <c r="J82" s="631"/>
      <c r="K82" s="631"/>
      <c r="L82" s="631"/>
      <c r="M82" s="631"/>
      <c r="N82" s="631"/>
      <c r="O82" s="631"/>
      <c r="P82" s="631"/>
      <c r="Q82" s="631"/>
      <c r="R82" s="631"/>
      <c r="S82" s="632"/>
      <c r="T82" s="632"/>
      <c r="U82" s="632"/>
      <c r="V82" s="632"/>
      <c r="W82" s="632"/>
    </row>
    <row r="83" spans="2:23" ht="15.75">
      <c r="B83" s="631"/>
      <c r="C83" s="631"/>
      <c r="D83" s="631"/>
      <c r="E83" s="634"/>
      <c r="F83" s="631"/>
      <c r="G83" s="631"/>
      <c r="H83" s="631"/>
      <c r="I83" s="631"/>
      <c r="J83" s="631"/>
      <c r="K83" s="631"/>
      <c r="L83" s="631"/>
      <c r="M83" s="631"/>
      <c r="N83" s="631"/>
      <c r="O83" s="631"/>
      <c r="P83" s="631"/>
      <c r="Q83" s="631"/>
      <c r="R83" s="631"/>
      <c r="S83" s="632"/>
      <c r="T83" s="632"/>
      <c r="U83" s="632"/>
      <c r="V83" s="632"/>
      <c r="W83" s="632"/>
    </row>
    <row r="84" spans="1:23" ht="15.75">
      <c r="A84" s="631"/>
      <c r="B84" s="631"/>
      <c r="C84" s="631"/>
      <c r="D84" s="631"/>
      <c r="E84" s="631"/>
      <c r="F84" s="631"/>
      <c r="G84" s="632"/>
      <c r="H84" s="631"/>
      <c r="I84" s="634"/>
      <c r="J84" s="631"/>
      <c r="K84" s="631"/>
      <c r="L84" s="632"/>
      <c r="M84" s="632"/>
      <c r="N84" s="635"/>
      <c r="O84" s="631"/>
      <c r="P84" s="631"/>
      <c r="Q84" s="631"/>
      <c r="R84" s="631"/>
      <c r="S84" s="631"/>
      <c r="T84" s="631"/>
      <c r="U84" s="631"/>
      <c r="V84" s="631"/>
      <c r="W84" s="631"/>
    </row>
    <row r="85" spans="1:23" ht="15">
      <c r="A85" s="631"/>
      <c r="B85" s="631"/>
      <c r="C85" s="631"/>
      <c r="D85" s="631"/>
      <c r="E85" s="631"/>
      <c r="F85" s="631"/>
      <c r="G85" s="631"/>
      <c r="H85" s="631"/>
      <c r="I85" s="631"/>
      <c r="J85" s="631"/>
      <c r="K85" s="631"/>
      <c r="L85" s="631"/>
      <c r="M85" s="631"/>
      <c r="N85" s="631"/>
      <c r="O85" s="631"/>
      <c r="P85" s="631"/>
      <c r="Q85" s="631"/>
      <c r="R85" s="631"/>
      <c r="S85" s="631"/>
      <c r="T85" s="631"/>
      <c r="U85" s="631"/>
      <c r="V85" s="631"/>
      <c r="W85" s="631"/>
    </row>
    <row r="86" spans="1:23" ht="15">
      <c r="A86" s="631"/>
      <c r="B86" s="631"/>
      <c r="C86" s="631"/>
      <c r="D86" s="631"/>
      <c r="E86" s="631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1"/>
      <c r="T86" s="631"/>
      <c r="U86" s="631"/>
      <c r="V86" s="631"/>
      <c r="W86" s="631"/>
    </row>
    <row r="87" spans="1:23" ht="15">
      <c r="A87" s="631"/>
      <c r="B87" s="631"/>
      <c r="C87" s="631"/>
      <c r="D87" s="631"/>
      <c r="E87" s="631"/>
      <c r="F87" s="631"/>
      <c r="G87" s="631"/>
      <c r="H87" s="631"/>
      <c r="I87" s="631"/>
      <c r="J87" s="631"/>
      <c r="K87" s="631"/>
      <c r="L87" s="631"/>
      <c r="M87" s="631"/>
      <c r="N87" s="631"/>
      <c r="O87" s="631"/>
      <c r="P87" s="631"/>
      <c r="Q87" s="631"/>
      <c r="R87" s="631"/>
      <c r="S87" s="631"/>
      <c r="T87" s="631"/>
      <c r="U87" s="631"/>
      <c r="V87" s="631"/>
      <c r="W87" s="631"/>
    </row>
    <row r="88" spans="1:23" ht="15">
      <c r="A88" s="631"/>
      <c r="B88" s="631"/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1"/>
      <c r="R88" s="631"/>
      <c r="S88" s="631"/>
      <c r="T88" s="631"/>
      <c r="U88" s="631"/>
      <c r="V88" s="631"/>
      <c r="W88" s="631"/>
    </row>
    <row r="89" spans="1:23" ht="15">
      <c r="A89" s="631"/>
      <c r="B89" s="631"/>
      <c r="C89" s="631"/>
      <c r="D89" s="631"/>
      <c r="E89" s="631"/>
      <c r="F89" s="631"/>
      <c r="G89" s="631"/>
      <c r="H89" s="631"/>
      <c r="I89" s="631"/>
      <c r="J89" s="631"/>
      <c r="K89" s="631"/>
      <c r="L89" s="631"/>
      <c r="M89" s="631"/>
      <c r="N89" s="631"/>
      <c r="O89" s="631"/>
      <c r="P89" s="631"/>
      <c r="Q89" s="631"/>
      <c r="R89" s="631"/>
      <c r="S89" s="631"/>
      <c r="T89" s="631"/>
      <c r="U89" s="631"/>
      <c r="V89" s="631"/>
      <c r="W89" s="631"/>
    </row>
    <row r="90" spans="1:23" ht="15">
      <c r="A90" s="631"/>
      <c r="B90" s="631"/>
      <c r="C90" s="631"/>
      <c r="D90" s="631"/>
      <c r="E90" s="631"/>
      <c r="F90" s="631"/>
      <c r="G90" s="631"/>
      <c r="H90" s="631"/>
      <c r="I90" s="631"/>
      <c r="J90" s="631"/>
      <c r="K90" s="631"/>
      <c r="L90" s="631"/>
      <c r="M90" s="631"/>
      <c r="N90" s="631"/>
      <c r="O90" s="631"/>
      <c r="P90" s="631"/>
      <c r="Q90" s="606"/>
      <c r="R90" s="631"/>
      <c r="S90" s="631"/>
      <c r="T90" s="631"/>
      <c r="U90" s="631"/>
      <c r="V90" s="631"/>
      <c r="W90" s="631"/>
    </row>
    <row r="91" spans="1:23" ht="15">
      <c r="A91" s="631"/>
      <c r="B91" s="631"/>
      <c r="C91" s="631"/>
      <c r="D91" s="631"/>
      <c r="E91" s="631"/>
      <c r="F91" s="631"/>
      <c r="G91" s="631"/>
      <c r="H91" s="631"/>
      <c r="I91" s="631"/>
      <c r="J91" s="631"/>
      <c r="K91" s="631"/>
      <c r="L91" s="631"/>
      <c r="M91" s="631"/>
      <c r="N91" s="631"/>
      <c r="O91" s="631"/>
      <c r="P91" s="631"/>
      <c r="Q91" s="636" t="s">
        <v>547</v>
      </c>
      <c r="R91" s="631"/>
      <c r="S91" s="631"/>
      <c r="T91" s="631"/>
      <c r="U91" s="631"/>
      <c r="V91" s="631"/>
      <c r="W91" s="631"/>
    </row>
    <row r="92" spans="1:23" ht="15">
      <c r="A92" s="622"/>
      <c r="B92" s="622"/>
      <c r="C92" s="622"/>
      <c r="D92" s="622"/>
      <c r="E92" s="622"/>
      <c r="F92" s="622"/>
      <c r="G92" s="631"/>
      <c r="H92" s="631"/>
      <c r="I92" s="631"/>
      <c r="J92" s="631"/>
      <c r="K92" s="631"/>
      <c r="L92" s="631"/>
      <c r="M92" s="631"/>
      <c r="N92" s="631"/>
      <c r="O92" s="631"/>
      <c r="P92" s="631"/>
      <c r="Q92" s="606"/>
      <c r="R92" s="622"/>
      <c r="S92" s="622"/>
      <c r="T92" s="622"/>
      <c r="U92" s="622"/>
      <c r="V92" s="622"/>
      <c r="W92" s="622"/>
    </row>
    <row r="93" spans="1:18" ht="15.75">
      <c r="A93" s="596"/>
      <c r="B93" s="606"/>
      <c r="C93" s="606"/>
      <c r="D93" s="606"/>
      <c r="E93" s="606"/>
      <c r="F93" s="606"/>
      <c r="G93" s="622"/>
      <c r="H93" s="622"/>
      <c r="I93" s="622"/>
      <c r="J93" s="622"/>
      <c r="K93" s="622"/>
      <c r="L93" s="622"/>
      <c r="M93" s="622"/>
      <c r="N93" s="622"/>
      <c r="O93" s="622"/>
      <c r="P93" s="622"/>
      <c r="Q93" s="622"/>
      <c r="R93" s="606"/>
    </row>
    <row r="94" spans="1:18" ht="15.75">
      <c r="A94" s="596"/>
      <c r="B94" s="606"/>
      <c r="C94" s="606"/>
      <c r="G94" s="637" t="s">
        <v>356</v>
      </c>
      <c r="H94" s="637"/>
      <c r="I94" s="637"/>
      <c r="J94" s="606"/>
      <c r="K94" s="606"/>
      <c r="L94" s="606"/>
      <c r="M94" s="606"/>
      <c r="N94" s="606"/>
      <c r="O94" s="606"/>
      <c r="P94" s="606"/>
      <c r="R94" s="606"/>
    </row>
    <row r="95" spans="1:26" ht="15.75">
      <c r="A95" s="596"/>
      <c r="B95" s="606"/>
      <c r="C95" s="606"/>
      <c r="D95" s="606"/>
      <c r="E95" s="606"/>
      <c r="F95" s="606"/>
      <c r="G95" s="637"/>
      <c r="H95" s="637"/>
      <c r="I95" s="637"/>
      <c r="J95" s="637"/>
      <c r="K95" s="637"/>
      <c r="L95" s="637"/>
      <c r="M95" s="637"/>
      <c r="N95" s="637"/>
      <c r="O95" s="637"/>
      <c r="P95" s="637"/>
      <c r="Q95" s="637"/>
      <c r="R95" s="606"/>
      <c r="X95" s="632"/>
      <c r="Y95" s="632"/>
      <c r="Z95" s="632"/>
    </row>
    <row r="96" spans="2:26" ht="20.25">
      <c r="B96" s="698" t="s">
        <v>357</v>
      </c>
      <c r="C96" s="699"/>
      <c r="D96" s="699"/>
      <c r="E96" s="699"/>
      <c r="F96" s="699"/>
      <c r="G96" s="699"/>
      <c r="H96" s="699"/>
      <c r="I96" s="699"/>
      <c r="J96" s="699"/>
      <c r="K96" s="699"/>
      <c r="L96" s="699"/>
      <c r="M96" s="699"/>
      <c r="N96" s="699"/>
      <c r="O96" s="700"/>
      <c r="P96" s="689"/>
      <c r="Q96" s="689"/>
      <c r="R96" s="606"/>
      <c r="X96" s="632"/>
      <c r="Y96" s="632"/>
      <c r="Z96" s="632"/>
    </row>
    <row r="97" spans="1:33" ht="15.75">
      <c r="A97" s="596"/>
      <c r="B97" s="606"/>
      <c r="C97" s="606"/>
      <c r="D97" s="606"/>
      <c r="E97" s="606"/>
      <c r="F97" s="606"/>
      <c r="G97" s="690"/>
      <c r="H97" s="690"/>
      <c r="I97" s="690"/>
      <c r="J97" s="690"/>
      <c r="K97" s="690"/>
      <c r="L97" s="690"/>
      <c r="M97" s="690"/>
      <c r="N97" s="690"/>
      <c r="O97" s="690"/>
      <c r="P97" s="690"/>
      <c r="Q97" s="690"/>
      <c r="R97" s="606"/>
      <c r="X97" s="632"/>
      <c r="Y97" s="585"/>
      <c r="Z97" s="585"/>
      <c r="AA97" s="585"/>
      <c r="AB97" s="585"/>
      <c r="AC97" s="585"/>
      <c r="AD97" s="585"/>
      <c r="AE97" s="585"/>
      <c r="AF97" s="585"/>
      <c r="AG97" s="585"/>
    </row>
    <row r="98" spans="1:33" ht="15" customHeight="1">
      <c r="A98" s="596"/>
      <c r="B98" s="606"/>
      <c r="C98" s="606"/>
      <c r="D98" s="606"/>
      <c r="E98" s="606"/>
      <c r="F98" s="606"/>
      <c r="G98" s="606"/>
      <c r="H98" s="606"/>
      <c r="I98" s="606"/>
      <c r="J98" s="606"/>
      <c r="K98" s="606"/>
      <c r="L98" s="606"/>
      <c r="M98" s="606"/>
      <c r="N98" s="606"/>
      <c r="O98" s="606"/>
      <c r="P98" s="606"/>
      <c r="Q98" s="606"/>
      <c r="R98" s="606"/>
      <c r="X98" s="632"/>
      <c r="Y98" s="632">
        <v>1</v>
      </c>
      <c r="Z98" s="632"/>
      <c r="AA98" s="638"/>
      <c r="AB98" s="638"/>
      <c r="AC98" s="585"/>
      <c r="AD98" s="585"/>
      <c r="AE98" s="585"/>
      <c r="AF98" s="585"/>
      <c r="AG98" s="585"/>
    </row>
    <row r="99" spans="1:37" s="606" customFormat="1" ht="15" customHeight="1">
      <c r="A99" s="596" t="s">
        <v>358</v>
      </c>
      <c r="C99" s="580"/>
      <c r="D99" s="606" t="s">
        <v>359</v>
      </c>
      <c r="T99" s="580"/>
      <c r="U99" s="580"/>
      <c r="V99" s="580"/>
      <c r="W99" s="580"/>
      <c r="X99" s="631"/>
      <c r="Y99" s="628">
        <f>Y98+1</f>
        <v>2</v>
      </c>
      <c r="Z99" s="628"/>
      <c r="AA99" s="609"/>
      <c r="AB99" s="609"/>
      <c r="AC99" s="639"/>
      <c r="AD99" s="639"/>
      <c r="AE99" s="594"/>
      <c r="AF99" s="594"/>
      <c r="AG99" s="594"/>
      <c r="AH99" s="594"/>
      <c r="AI99" s="594"/>
      <c r="AJ99" s="609"/>
      <c r="AK99" s="609"/>
    </row>
    <row r="100" spans="1:37" s="606" customFormat="1" ht="15" customHeight="1">
      <c r="A100" s="596" t="s">
        <v>360</v>
      </c>
      <c r="C100" s="580"/>
      <c r="D100" s="606" t="s">
        <v>413</v>
      </c>
      <c r="T100" s="580"/>
      <c r="U100" s="580"/>
      <c r="V100" s="580"/>
      <c r="W100" s="580"/>
      <c r="X100" s="631"/>
      <c r="Y100" s="628">
        <f aca="true" t="shared" si="1" ref="Y100:Y108">Y99+1</f>
        <v>3</v>
      </c>
      <c r="Z100" s="628"/>
      <c r="AA100" s="609"/>
      <c r="AB100" s="609"/>
      <c r="AJ100" s="609"/>
      <c r="AK100" s="609"/>
    </row>
    <row r="101" spans="1:37" s="606" customFormat="1" ht="15" customHeight="1">
      <c r="A101" s="596"/>
      <c r="C101" s="580"/>
      <c r="D101" s="606" t="s">
        <v>361</v>
      </c>
      <c r="T101" s="580"/>
      <c r="U101" s="580"/>
      <c r="V101" s="580"/>
      <c r="W101" s="580"/>
      <c r="X101" s="631"/>
      <c r="Y101" s="628">
        <f t="shared" si="1"/>
        <v>4</v>
      </c>
      <c r="Z101" s="628"/>
      <c r="AA101" s="609"/>
      <c r="AB101" s="609"/>
      <c r="AJ101" s="609"/>
      <c r="AK101" s="609"/>
    </row>
    <row r="102" spans="1:37" s="606" customFormat="1" ht="15" customHeight="1">
      <c r="A102" s="596"/>
      <c r="C102" s="580"/>
      <c r="D102" s="602"/>
      <c r="E102" s="580"/>
      <c r="S102" s="580"/>
      <c r="T102" s="580"/>
      <c r="U102" s="580"/>
      <c r="V102" s="580"/>
      <c r="W102" s="580"/>
      <c r="X102" s="631"/>
      <c r="Y102" s="628">
        <f t="shared" si="1"/>
        <v>5</v>
      </c>
      <c r="Z102" s="628"/>
      <c r="AA102" s="609"/>
      <c r="AB102" s="609"/>
      <c r="AJ102" s="609"/>
      <c r="AK102" s="609"/>
    </row>
    <row r="103" spans="1:37" s="606" customFormat="1" ht="15" customHeight="1">
      <c r="A103" s="596" t="s">
        <v>348</v>
      </c>
      <c r="C103" s="580"/>
      <c r="D103" s="606" t="s">
        <v>362</v>
      </c>
      <c r="I103" s="640" t="s">
        <v>548</v>
      </c>
      <c r="L103" s="606" t="s">
        <v>549</v>
      </c>
      <c r="U103" s="580"/>
      <c r="V103" s="580"/>
      <c r="W103" s="580"/>
      <c r="X103" s="631"/>
      <c r="Y103" s="628">
        <f t="shared" si="1"/>
        <v>6</v>
      </c>
      <c r="Z103" s="628"/>
      <c r="AA103" s="609"/>
      <c r="AB103" s="609"/>
      <c r="AJ103" s="609"/>
      <c r="AK103" s="609"/>
    </row>
    <row r="104" spans="1:37" s="606" customFormat="1" ht="15" customHeight="1">
      <c r="A104" s="596"/>
      <c r="C104" s="580"/>
      <c r="D104" s="606" t="s">
        <v>550</v>
      </c>
      <c r="E104" s="580"/>
      <c r="I104" s="580"/>
      <c r="K104" s="580"/>
      <c r="L104" s="580"/>
      <c r="U104" s="580"/>
      <c r="V104" s="580"/>
      <c r="W104" s="580"/>
      <c r="X104" s="631"/>
      <c r="Y104" s="628">
        <f t="shared" si="1"/>
        <v>7</v>
      </c>
      <c r="Z104" s="628"/>
      <c r="AA104" s="609"/>
      <c r="AB104" s="609"/>
      <c r="AJ104" s="609"/>
      <c r="AK104" s="609"/>
    </row>
    <row r="105" spans="1:37" s="606" customFormat="1" ht="15" customHeight="1">
      <c r="A105" s="596"/>
      <c r="C105" s="580"/>
      <c r="D105" s="616" t="s">
        <v>393</v>
      </c>
      <c r="E105" s="580"/>
      <c r="U105" s="580"/>
      <c r="V105" s="580"/>
      <c r="W105" s="580"/>
      <c r="X105" s="631"/>
      <c r="Y105" s="628">
        <f t="shared" si="1"/>
        <v>8</v>
      </c>
      <c r="Z105" s="628"/>
      <c r="AA105" s="609"/>
      <c r="AB105" s="609"/>
      <c r="AJ105" s="609"/>
      <c r="AK105" s="609"/>
    </row>
    <row r="106" spans="1:37" s="606" customFormat="1" ht="15" customHeight="1">
      <c r="A106" s="596"/>
      <c r="C106" s="580"/>
      <c r="D106" s="616" t="s">
        <v>363</v>
      </c>
      <c r="E106" s="580"/>
      <c r="U106" s="580"/>
      <c r="V106" s="580"/>
      <c r="W106" s="580"/>
      <c r="X106" s="631"/>
      <c r="Y106" s="628">
        <f t="shared" si="1"/>
        <v>9</v>
      </c>
      <c r="Z106" s="628"/>
      <c r="AA106" s="609"/>
      <c r="AB106" s="609"/>
      <c r="AJ106" s="609"/>
      <c r="AK106" s="609"/>
    </row>
    <row r="107" spans="1:26" s="622" customFormat="1" ht="15" customHeight="1">
      <c r="A107" s="596"/>
      <c r="B107" s="606"/>
      <c r="C107" s="580"/>
      <c r="D107" s="616" t="s">
        <v>364</v>
      </c>
      <c r="E107" s="580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580"/>
      <c r="V107" s="580"/>
      <c r="W107" s="580"/>
      <c r="Y107" s="628">
        <f t="shared" si="1"/>
        <v>10</v>
      </c>
      <c r="Z107" s="628"/>
    </row>
    <row r="108" spans="1:26" ht="15" customHeight="1">
      <c r="A108" s="596"/>
      <c r="B108" s="606"/>
      <c r="D108" s="673" t="s">
        <v>412</v>
      </c>
      <c r="F108" s="606"/>
      <c r="G108" s="606"/>
      <c r="H108" s="606"/>
      <c r="I108" s="606"/>
      <c r="J108" s="606"/>
      <c r="K108" s="606"/>
      <c r="L108" s="606"/>
      <c r="M108" s="606"/>
      <c r="N108" s="606"/>
      <c r="O108" s="606"/>
      <c r="P108" s="606"/>
      <c r="Q108" s="606"/>
      <c r="R108" s="606"/>
      <c r="S108" s="606"/>
      <c r="T108" s="606"/>
      <c r="Y108" s="628">
        <f t="shared" si="1"/>
        <v>11</v>
      </c>
      <c r="Z108" s="628"/>
    </row>
    <row r="109" spans="1:20" ht="15.75">
      <c r="A109" s="596"/>
      <c r="B109" s="606"/>
      <c r="D109" s="673"/>
      <c r="F109" s="606"/>
      <c r="G109" s="606"/>
      <c r="H109" s="606"/>
      <c r="I109" s="606"/>
      <c r="J109" s="606"/>
      <c r="K109" s="606"/>
      <c r="L109" s="606"/>
      <c r="M109" s="606"/>
      <c r="N109" s="606"/>
      <c r="O109" s="606"/>
      <c r="P109" s="606"/>
      <c r="Q109" s="606"/>
      <c r="R109" s="606"/>
      <c r="S109" s="606"/>
      <c r="T109" s="606"/>
    </row>
    <row r="110" spans="1:20" ht="15.75">
      <c r="A110" s="596" t="s">
        <v>365</v>
      </c>
      <c r="B110" s="606"/>
      <c r="D110" s="641" t="s">
        <v>366</v>
      </c>
      <c r="E110" s="642"/>
      <c r="F110" s="641"/>
      <c r="G110" s="641"/>
      <c r="H110" s="641"/>
      <c r="I110" s="641"/>
      <c r="J110" s="597" t="s">
        <v>367</v>
      </c>
      <c r="K110" s="597"/>
      <c r="L110" s="597"/>
      <c r="M110" s="616" t="s">
        <v>551</v>
      </c>
      <c r="N110" s="606"/>
      <c r="O110" s="606"/>
      <c r="P110" s="606"/>
      <c r="Q110" s="606"/>
      <c r="R110" s="606"/>
      <c r="S110" s="606"/>
      <c r="T110" s="606"/>
    </row>
    <row r="111" spans="1:25" ht="15.75">
      <c r="A111" s="596" t="s">
        <v>368</v>
      </c>
      <c r="B111" s="606"/>
      <c r="D111" s="606" t="s">
        <v>394</v>
      </c>
      <c r="F111" s="606"/>
      <c r="G111" s="606"/>
      <c r="H111" s="606"/>
      <c r="I111" s="606"/>
      <c r="J111" s="606"/>
      <c r="L111" s="606"/>
      <c r="M111" s="606"/>
      <c r="N111" s="606"/>
      <c r="O111" s="606"/>
      <c r="P111" s="606"/>
      <c r="Q111" s="606"/>
      <c r="R111" s="606"/>
      <c r="S111" s="606"/>
      <c r="T111" s="606"/>
      <c r="Y111" s="580">
        <v>105</v>
      </c>
    </row>
    <row r="112" spans="1:23" ht="15.75">
      <c r="A112" s="596"/>
      <c r="B112" s="606"/>
      <c r="D112" s="606"/>
      <c r="F112" s="606"/>
      <c r="G112" s="606"/>
      <c r="H112" s="606"/>
      <c r="I112" s="606"/>
      <c r="J112" s="606"/>
      <c r="K112" s="606"/>
      <c r="L112" s="606"/>
      <c r="M112" s="606"/>
      <c r="N112" s="606"/>
      <c r="O112" s="606"/>
      <c r="P112" s="606"/>
      <c r="Q112" s="606"/>
      <c r="R112" s="606"/>
      <c r="S112" s="606"/>
      <c r="T112" s="602"/>
      <c r="U112" s="622"/>
      <c r="V112" s="622"/>
      <c r="W112" s="622"/>
    </row>
    <row r="113" spans="1:23" ht="15.75">
      <c r="A113" s="596" t="s">
        <v>369</v>
      </c>
      <c r="B113" s="606"/>
      <c r="D113" s="606" t="s">
        <v>370</v>
      </c>
      <c r="F113" s="606"/>
      <c r="G113" s="606"/>
      <c r="H113" s="606"/>
      <c r="I113" s="606"/>
      <c r="J113" s="606"/>
      <c r="K113" s="606"/>
      <c r="L113" s="606"/>
      <c r="M113" s="606"/>
      <c r="N113" s="606"/>
      <c r="O113" s="606"/>
      <c r="P113" s="606"/>
      <c r="Q113" s="606"/>
      <c r="R113" s="606"/>
      <c r="S113" s="606"/>
      <c r="T113" s="602"/>
      <c r="U113" s="622"/>
      <c r="V113" s="622"/>
      <c r="W113" s="622"/>
    </row>
    <row r="114" spans="1:23" ht="15.75">
      <c r="A114" s="596"/>
      <c r="B114" s="606"/>
      <c r="D114" s="679" t="s">
        <v>371</v>
      </c>
      <c r="F114" s="606"/>
      <c r="G114" s="606"/>
      <c r="H114" s="606"/>
      <c r="I114" s="606"/>
      <c r="J114" s="606"/>
      <c r="K114" s="606"/>
      <c r="L114" s="606"/>
      <c r="M114" s="606"/>
      <c r="N114" s="606"/>
      <c r="O114" s="606"/>
      <c r="P114" s="606"/>
      <c r="Q114" s="606"/>
      <c r="R114" s="606"/>
      <c r="S114" s="606"/>
      <c r="T114" s="602"/>
      <c r="U114" s="622"/>
      <c r="V114" s="622"/>
      <c r="W114" s="622"/>
    </row>
    <row r="115" spans="1:23" ht="15.75">
      <c r="A115" s="596"/>
      <c r="B115" s="606"/>
      <c r="D115" s="643" t="s">
        <v>552</v>
      </c>
      <c r="F115" s="606"/>
      <c r="G115" s="606"/>
      <c r="H115" s="606"/>
      <c r="I115" s="606"/>
      <c r="J115" s="606"/>
      <c r="K115" s="606"/>
      <c r="L115" s="606"/>
      <c r="M115" s="606"/>
      <c r="N115" s="606"/>
      <c r="O115" s="606"/>
      <c r="P115" s="606"/>
      <c r="Q115" s="606"/>
      <c r="R115" s="606"/>
      <c r="S115" s="606"/>
      <c r="T115" s="602"/>
      <c r="U115" s="622"/>
      <c r="V115" s="622"/>
      <c r="W115" s="622"/>
    </row>
    <row r="116" spans="1:23" ht="15.75">
      <c r="A116" s="596"/>
      <c r="B116" s="606"/>
      <c r="D116" s="606" t="s">
        <v>553</v>
      </c>
      <c r="F116" s="606"/>
      <c r="G116" s="606"/>
      <c r="H116" s="606"/>
      <c r="I116" s="606"/>
      <c r="J116" s="606"/>
      <c r="K116" s="606"/>
      <c r="L116" s="606"/>
      <c r="M116" s="606"/>
      <c r="N116" s="606"/>
      <c r="O116" s="606"/>
      <c r="P116" s="606"/>
      <c r="Q116" s="606"/>
      <c r="R116" s="606"/>
      <c r="S116" s="606"/>
      <c r="T116" s="602"/>
      <c r="U116" s="622"/>
      <c r="V116" s="622"/>
      <c r="W116" s="622"/>
    </row>
    <row r="117" spans="1:23" ht="15" customHeight="1">
      <c r="A117" s="596"/>
      <c r="B117" s="606"/>
      <c r="D117" s="606" t="s">
        <v>554</v>
      </c>
      <c r="F117" s="606"/>
      <c r="G117" s="606"/>
      <c r="H117" s="606"/>
      <c r="I117" s="606"/>
      <c r="J117" s="606"/>
      <c r="K117" s="606"/>
      <c r="L117" s="606"/>
      <c r="M117" s="606"/>
      <c r="N117" s="606"/>
      <c r="O117" s="606"/>
      <c r="P117" s="606"/>
      <c r="Q117" s="606"/>
      <c r="R117" s="606"/>
      <c r="S117" s="606"/>
      <c r="T117" s="602"/>
      <c r="U117" s="622"/>
      <c r="V117" s="622"/>
      <c r="W117" s="622"/>
    </row>
    <row r="118" spans="1:23" ht="15.75">
      <c r="A118" s="596"/>
      <c r="D118" s="602" t="s">
        <v>555</v>
      </c>
      <c r="E118" s="606"/>
      <c r="F118" s="606"/>
      <c r="G118" s="606"/>
      <c r="H118" s="606"/>
      <c r="I118" s="606"/>
      <c r="J118" s="606"/>
      <c r="K118" s="606"/>
      <c r="L118" s="606"/>
      <c r="M118" s="606"/>
      <c r="N118" s="606"/>
      <c r="O118" s="606"/>
      <c r="P118" s="606"/>
      <c r="Q118" s="606"/>
      <c r="R118" s="606"/>
      <c r="S118" s="606"/>
      <c r="T118" s="602"/>
      <c r="U118" s="622"/>
      <c r="V118" s="622"/>
      <c r="W118" s="622"/>
    </row>
    <row r="119" spans="1:23" ht="15.75">
      <c r="A119" s="596"/>
      <c r="D119" s="602" t="s">
        <v>395</v>
      </c>
      <c r="E119" s="606"/>
      <c r="F119" s="606"/>
      <c r="G119" s="606"/>
      <c r="H119" s="606"/>
      <c r="I119" s="606"/>
      <c r="J119" s="606"/>
      <c r="K119" s="606"/>
      <c r="L119" s="606"/>
      <c r="M119" s="606"/>
      <c r="N119" s="606"/>
      <c r="O119" s="606"/>
      <c r="P119" s="606"/>
      <c r="Q119" s="606"/>
      <c r="R119" s="606"/>
      <c r="S119" s="606"/>
      <c r="T119" s="602"/>
      <c r="U119" s="622"/>
      <c r="V119" s="622"/>
      <c r="W119" s="622"/>
    </row>
    <row r="120" spans="1:23" ht="15.75">
      <c r="A120" s="596"/>
      <c r="D120" s="644" t="s">
        <v>372</v>
      </c>
      <c r="E120" s="606"/>
      <c r="F120" s="606"/>
      <c r="G120" s="606"/>
      <c r="H120" s="606"/>
      <c r="I120" s="606"/>
      <c r="J120" s="606"/>
      <c r="K120" s="606"/>
      <c r="L120" s="606"/>
      <c r="M120" s="606"/>
      <c r="N120" s="606"/>
      <c r="O120" s="606"/>
      <c r="P120" s="606"/>
      <c r="Q120" s="606"/>
      <c r="R120" s="606"/>
      <c r="S120" s="606"/>
      <c r="T120" s="602"/>
      <c r="U120" s="622"/>
      <c r="V120" s="622"/>
      <c r="W120" s="622"/>
    </row>
    <row r="121" spans="1:23" ht="15.75">
      <c r="A121" s="596"/>
      <c r="B121" s="645"/>
      <c r="D121" s="644" t="s">
        <v>576</v>
      </c>
      <c r="E121" s="606"/>
      <c r="F121" s="606"/>
      <c r="G121" s="606"/>
      <c r="H121" s="606"/>
      <c r="I121" s="606"/>
      <c r="J121" s="606"/>
      <c r="K121" s="606"/>
      <c r="L121" s="606"/>
      <c r="M121" s="606"/>
      <c r="N121" s="606"/>
      <c r="O121" s="606"/>
      <c r="P121" s="606"/>
      <c r="Q121" s="606"/>
      <c r="R121" s="606"/>
      <c r="S121" s="606"/>
      <c r="T121" s="602"/>
      <c r="U121" s="622"/>
      <c r="V121" s="622"/>
      <c r="W121" s="622"/>
    </row>
    <row r="122" spans="1:23" ht="15.75">
      <c r="A122" s="596"/>
      <c r="B122" s="645"/>
      <c r="D122" s="697" t="s">
        <v>575</v>
      </c>
      <c r="E122" s="606"/>
      <c r="F122" s="606"/>
      <c r="G122" s="606"/>
      <c r="H122" s="606"/>
      <c r="I122" s="606"/>
      <c r="J122" s="606"/>
      <c r="K122" s="606"/>
      <c r="L122" s="606"/>
      <c r="M122" s="606"/>
      <c r="N122" s="606"/>
      <c r="O122" s="606"/>
      <c r="P122" s="606"/>
      <c r="Q122" s="606"/>
      <c r="R122" s="606"/>
      <c r="S122" s="606"/>
      <c r="T122" s="602"/>
      <c r="U122" s="622"/>
      <c r="V122" s="622"/>
      <c r="W122" s="622"/>
    </row>
    <row r="123" spans="1:23" ht="15" customHeight="1">
      <c r="A123" s="596"/>
      <c r="B123" s="645"/>
      <c r="D123" s="691"/>
      <c r="E123" s="606"/>
      <c r="F123" s="606"/>
      <c r="G123" s="606"/>
      <c r="H123" s="606"/>
      <c r="I123" s="606"/>
      <c r="J123" s="606"/>
      <c r="K123" s="606"/>
      <c r="L123" s="606"/>
      <c r="M123" s="606"/>
      <c r="N123" s="606"/>
      <c r="O123" s="606"/>
      <c r="P123" s="606"/>
      <c r="Q123" s="606"/>
      <c r="R123" s="606"/>
      <c r="S123" s="606"/>
      <c r="T123" s="602"/>
      <c r="U123" s="622"/>
      <c r="V123" s="622"/>
      <c r="W123" s="622"/>
    </row>
    <row r="124" spans="1:23" ht="15" customHeight="1">
      <c r="A124" s="596" t="s">
        <v>373</v>
      </c>
      <c r="B124" s="606"/>
      <c r="D124" s="613" t="s">
        <v>556</v>
      </c>
      <c r="E124" s="606"/>
      <c r="F124" s="606"/>
      <c r="G124" s="606"/>
      <c r="H124" s="606"/>
      <c r="I124" s="606"/>
      <c r="J124" s="606"/>
      <c r="K124" s="606"/>
      <c r="L124" s="606"/>
      <c r="M124" s="606"/>
      <c r="N124" s="606"/>
      <c r="O124" s="606"/>
      <c r="P124" s="606"/>
      <c r="Q124" s="606"/>
      <c r="R124" s="606"/>
      <c r="S124" s="606"/>
      <c r="T124" s="602"/>
      <c r="U124" s="622"/>
      <c r="V124" s="622"/>
      <c r="W124" s="622"/>
    </row>
    <row r="125" spans="1:23" ht="15.75">
      <c r="A125" s="596"/>
      <c r="B125" s="606"/>
      <c r="D125" s="606"/>
      <c r="E125" s="606"/>
      <c r="F125" s="606"/>
      <c r="G125" s="606"/>
      <c r="H125" s="606"/>
      <c r="I125" s="606"/>
      <c r="J125" s="606"/>
      <c r="K125" s="606"/>
      <c r="L125" s="606"/>
      <c r="M125" s="606"/>
      <c r="N125" s="606"/>
      <c r="O125" s="606"/>
      <c r="P125" s="606"/>
      <c r="Q125" s="606"/>
      <c r="R125" s="606"/>
      <c r="S125" s="606"/>
      <c r="T125" s="602"/>
      <c r="U125" s="622"/>
      <c r="V125" s="622"/>
      <c r="W125" s="622"/>
    </row>
    <row r="126" spans="1:23" ht="15.75">
      <c r="A126" s="596" t="s">
        <v>374</v>
      </c>
      <c r="B126" s="606"/>
      <c r="C126" s="606"/>
      <c r="D126" s="606" t="s">
        <v>557</v>
      </c>
      <c r="E126" s="606"/>
      <c r="F126" s="606"/>
      <c r="G126" s="606"/>
      <c r="H126" s="606"/>
      <c r="I126" s="606"/>
      <c r="J126" s="606"/>
      <c r="K126" s="606"/>
      <c r="L126" s="606"/>
      <c r="M126" s="606"/>
      <c r="N126" s="606"/>
      <c r="O126" s="606"/>
      <c r="P126" s="606"/>
      <c r="Q126" s="606"/>
      <c r="R126" s="606"/>
      <c r="S126" s="606"/>
      <c r="T126" s="622"/>
      <c r="U126" s="622"/>
      <c r="V126" s="622"/>
      <c r="W126" s="622"/>
    </row>
    <row r="127" spans="1:23" ht="15" customHeight="1">
      <c r="A127" s="596"/>
      <c r="B127" s="606"/>
      <c r="C127" s="606"/>
      <c r="D127" s="606"/>
      <c r="E127" s="606"/>
      <c r="F127" s="606"/>
      <c r="G127" s="606"/>
      <c r="H127" s="606"/>
      <c r="I127" s="606"/>
      <c r="J127" s="606"/>
      <c r="K127" s="606"/>
      <c r="L127" s="606"/>
      <c r="M127" s="606"/>
      <c r="N127" s="606"/>
      <c r="O127" s="606"/>
      <c r="P127" s="606"/>
      <c r="Q127" s="606"/>
      <c r="R127" s="606"/>
      <c r="S127" s="606"/>
      <c r="T127" s="622"/>
      <c r="U127" s="622"/>
      <c r="V127" s="622"/>
      <c r="W127" s="622"/>
    </row>
    <row r="128" spans="1:24" ht="15.75">
      <c r="A128" s="596" t="s">
        <v>375</v>
      </c>
      <c r="B128" s="606"/>
      <c r="C128" s="606"/>
      <c r="D128" s="606" t="s">
        <v>376</v>
      </c>
      <c r="E128" s="606"/>
      <c r="F128" s="606"/>
      <c r="G128" s="606"/>
      <c r="H128" s="606"/>
      <c r="I128" s="606"/>
      <c r="J128" s="606"/>
      <c r="K128" s="606"/>
      <c r="L128" s="606"/>
      <c r="M128" s="606"/>
      <c r="N128" s="606"/>
      <c r="O128" s="606"/>
      <c r="P128" s="606"/>
      <c r="Q128" s="606"/>
      <c r="R128" s="606"/>
      <c r="T128" s="622"/>
      <c r="U128" s="622"/>
      <c r="V128" s="622"/>
      <c r="W128" s="622"/>
      <c r="X128" s="622"/>
    </row>
    <row r="129" spans="1:24" ht="15.75">
      <c r="A129" s="596"/>
      <c r="B129" s="606"/>
      <c r="C129" s="606"/>
      <c r="D129" s="606" t="s">
        <v>396</v>
      </c>
      <c r="E129" s="646"/>
      <c r="F129" s="646"/>
      <c r="G129" s="606" t="str">
        <f>"- Manfred Lux (FI), Tel:: (04131) 33579, FAX 33597"</f>
        <v>- Manfred Lux (FI), Tel:: (04131) 33579, FAX 33597</v>
      </c>
      <c r="H129" s="606"/>
      <c r="I129" s="606"/>
      <c r="J129" s="606"/>
      <c r="L129" s="606"/>
      <c r="N129" s="606"/>
      <c r="O129" s="606"/>
      <c r="P129" s="606"/>
      <c r="Q129" s="606"/>
      <c r="R129" s="606"/>
      <c r="T129" s="622"/>
      <c r="U129" s="622"/>
      <c r="V129" s="622"/>
      <c r="W129" s="622"/>
      <c r="X129" s="622"/>
    </row>
    <row r="130" spans="1:24" ht="15.75">
      <c r="A130" s="596"/>
      <c r="B130" s="606"/>
      <c r="C130" s="606"/>
      <c r="D130" s="606"/>
      <c r="E130" s="606"/>
      <c r="F130" s="606"/>
      <c r="G130" s="606" t="str">
        <f>"- Sven Dreeke, Tel.: (03303) 213076 FAX: 214450"</f>
        <v>- Sven Dreeke, Tel.: (03303) 213076 FAX: 214450</v>
      </c>
      <c r="I130" s="606"/>
      <c r="J130" s="606"/>
      <c r="K130" s="606"/>
      <c r="L130" s="606"/>
      <c r="N130" s="606"/>
      <c r="O130" s="606"/>
      <c r="P130" s="606"/>
      <c r="Q130" s="606"/>
      <c r="T130" s="622"/>
      <c r="U130" s="622"/>
      <c r="V130" s="622"/>
      <c r="W130" s="622"/>
      <c r="X130" s="622"/>
    </row>
    <row r="131" spans="1:24" ht="15.75">
      <c r="A131" s="596"/>
      <c r="B131" s="606"/>
      <c r="C131" s="606"/>
      <c r="D131" s="606"/>
      <c r="E131" s="606"/>
      <c r="F131" s="606"/>
      <c r="G131" s="606" t="s">
        <v>377</v>
      </c>
      <c r="H131" s="606"/>
      <c r="I131" s="606"/>
      <c r="J131" s="606"/>
      <c r="K131" s="606"/>
      <c r="L131" s="606"/>
      <c r="N131" s="606"/>
      <c r="O131" s="606"/>
      <c r="P131" s="606"/>
      <c r="Q131" s="606"/>
      <c r="T131" s="622"/>
      <c r="U131" s="622"/>
      <c r="V131" s="622"/>
      <c r="W131" s="622"/>
      <c r="X131" s="622"/>
    </row>
    <row r="132" spans="1:24" ht="15.75">
      <c r="A132" s="596" t="s">
        <v>378</v>
      </c>
      <c r="B132" s="606"/>
      <c r="C132" s="606"/>
      <c r="D132" s="606" t="s">
        <v>379</v>
      </c>
      <c r="E132" s="606"/>
      <c r="F132" s="606"/>
      <c r="H132" s="606"/>
      <c r="I132" s="606"/>
      <c r="J132" s="606"/>
      <c r="K132" s="606"/>
      <c r="L132" s="606"/>
      <c r="M132" s="606"/>
      <c r="N132" s="606"/>
      <c r="O132" s="606"/>
      <c r="P132" s="606"/>
      <c r="Q132" s="606"/>
      <c r="T132" s="622"/>
      <c r="U132" s="622"/>
      <c r="V132" s="622"/>
      <c r="W132" s="622"/>
      <c r="X132" s="622"/>
    </row>
    <row r="133" spans="4:24" ht="15" customHeight="1">
      <c r="D133" s="606" t="s">
        <v>380</v>
      </c>
      <c r="E133" s="606"/>
      <c r="F133" s="606"/>
      <c r="G133" s="606"/>
      <c r="H133" s="606"/>
      <c r="I133" s="606"/>
      <c r="J133" s="606"/>
      <c r="K133" s="606"/>
      <c r="L133" s="606"/>
      <c r="M133" s="606"/>
      <c r="N133" s="606"/>
      <c r="O133" s="606"/>
      <c r="P133" s="606"/>
      <c r="Q133" s="606"/>
      <c r="T133" s="622"/>
      <c r="U133" s="622"/>
      <c r="V133" s="622"/>
      <c r="W133" s="622"/>
      <c r="X133" s="622"/>
    </row>
    <row r="134" spans="4:47" ht="15" customHeight="1">
      <c r="D134" s="606"/>
      <c r="E134" s="606"/>
      <c r="F134" s="606"/>
      <c r="Q134" s="606"/>
      <c r="T134" s="622"/>
      <c r="U134" s="622"/>
      <c r="V134" s="622"/>
      <c r="W134" s="622"/>
      <c r="X134" s="622"/>
      <c r="AR134" s="606"/>
      <c r="AS134" s="606"/>
      <c r="AT134" s="606"/>
      <c r="AU134" s="606"/>
    </row>
    <row r="135" spans="4:47" ht="15" customHeight="1">
      <c r="D135" s="606"/>
      <c r="E135" s="606"/>
      <c r="F135" s="606"/>
      <c r="Q135" s="606"/>
      <c r="R135" s="606"/>
      <c r="T135" s="622"/>
      <c r="U135" s="622"/>
      <c r="V135" s="622"/>
      <c r="W135" s="622"/>
      <c r="X135" s="622"/>
      <c r="AR135" s="606"/>
      <c r="AS135" s="606"/>
      <c r="AT135" s="606"/>
      <c r="AU135" s="606"/>
    </row>
    <row r="136" spans="4:47" ht="15" customHeight="1">
      <c r="D136" s="606"/>
      <c r="E136" s="606"/>
      <c r="F136" s="606"/>
      <c r="G136" s="640" t="s">
        <v>381</v>
      </c>
      <c r="H136" s="606"/>
      <c r="I136" s="606"/>
      <c r="J136" s="606"/>
      <c r="K136" s="606"/>
      <c r="L136" s="606"/>
      <c r="M136" s="606"/>
      <c r="O136" s="606"/>
      <c r="P136" s="606"/>
      <c r="Q136" s="606"/>
      <c r="R136" s="606"/>
      <c r="T136" s="622"/>
      <c r="U136" s="622"/>
      <c r="V136" s="622"/>
      <c r="W136" s="622"/>
      <c r="X136" s="622"/>
      <c r="AP136" s="606"/>
      <c r="AQ136" s="606"/>
      <c r="AR136" s="606"/>
      <c r="AS136" s="606"/>
      <c r="AT136" s="606"/>
      <c r="AU136" s="606"/>
    </row>
    <row r="137" spans="4:47" ht="15" customHeight="1">
      <c r="D137" s="606"/>
      <c r="E137" s="606"/>
      <c r="F137" s="606"/>
      <c r="G137" s="606"/>
      <c r="H137" s="606" t="s">
        <v>382</v>
      </c>
      <c r="I137" s="606"/>
      <c r="J137" s="606"/>
      <c r="K137" s="606"/>
      <c r="L137" s="606"/>
      <c r="M137" s="606"/>
      <c r="O137" s="606"/>
      <c r="P137" s="606"/>
      <c r="Q137" s="606"/>
      <c r="R137" s="606"/>
      <c r="T137" s="622"/>
      <c r="U137" s="622"/>
      <c r="V137" s="622"/>
      <c r="W137" s="622"/>
      <c r="X137" s="622"/>
      <c r="AP137" s="606"/>
      <c r="AQ137" s="606"/>
      <c r="AR137" s="606"/>
      <c r="AS137" s="606"/>
      <c r="AT137" s="606"/>
      <c r="AU137" s="606"/>
    </row>
    <row r="138" spans="4:47" ht="15" customHeight="1">
      <c r="D138" s="606"/>
      <c r="E138" s="606"/>
      <c r="F138" s="606"/>
      <c r="G138" s="606"/>
      <c r="H138" s="606" t="s">
        <v>383</v>
      </c>
      <c r="I138" s="606"/>
      <c r="J138" s="606"/>
      <c r="K138" s="606"/>
      <c r="L138" s="606"/>
      <c r="M138" s="606"/>
      <c r="O138" s="606"/>
      <c r="P138" s="606"/>
      <c r="Q138" s="606"/>
      <c r="R138" s="606"/>
      <c r="T138" s="622"/>
      <c r="U138" s="622"/>
      <c r="V138" s="622"/>
      <c r="W138" s="622"/>
      <c r="X138" s="622"/>
      <c r="AP138" s="606"/>
      <c r="AQ138" s="606"/>
      <c r="AR138" s="606"/>
      <c r="AS138" s="606"/>
      <c r="AT138" s="606"/>
      <c r="AU138" s="606"/>
    </row>
    <row r="139" spans="4:47" ht="15" customHeight="1">
      <c r="D139" s="606"/>
      <c r="E139" s="606"/>
      <c r="F139" s="606"/>
      <c r="G139" s="606"/>
      <c r="H139" s="606" t="s">
        <v>384</v>
      </c>
      <c r="I139" s="606"/>
      <c r="J139" s="606"/>
      <c r="K139" s="606"/>
      <c r="L139" s="606"/>
      <c r="M139" s="606" t="s">
        <v>385</v>
      </c>
      <c r="N139" s="606"/>
      <c r="P139" s="606"/>
      <c r="Q139" s="606"/>
      <c r="R139" s="606"/>
      <c r="T139" s="622"/>
      <c r="U139" s="622"/>
      <c r="V139" s="622"/>
      <c r="W139" s="622"/>
      <c r="X139" s="622"/>
      <c r="AP139" s="606"/>
      <c r="AQ139" s="606"/>
      <c r="AR139" s="606"/>
      <c r="AS139" s="606"/>
      <c r="AT139" s="606"/>
      <c r="AU139" s="606"/>
    </row>
    <row r="140" spans="4:24" ht="15" customHeight="1">
      <c r="D140" s="606"/>
      <c r="E140" s="606"/>
      <c r="F140" s="606"/>
      <c r="G140" s="606"/>
      <c r="H140" s="606"/>
      <c r="I140" s="606"/>
      <c r="J140" s="606"/>
      <c r="K140" s="606"/>
      <c r="L140" s="606"/>
      <c r="M140" s="606" t="s">
        <v>386</v>
      </c>
      <c r="N140" s="606"/>
      <c r="O140" s="606"/>
      <c r="P140" s="606"/>
      <c r="Q140" s="606"/>
      <c r="R140" s="606"/>
      <c r="T140" s="622"/>
      <c r="U140" s="622"/>
      <c r="V140" s="622"/>
      <c r="W140" s="622"/>
      <c r="X140" s="622"/>
    </row>
    <row r="141" spans="4:24" ht="15.75">
      <c r="D141" s="606"/>
      <c r="E141" s="606"/>
      <c r="F141" s="606"/>
      <c r="G141" s="640"/>
      <c r="H141" s="606"/>
      <c r="I141" s="606"/>
      <c r="J141" s="606"/>
      <c r="K141" s="606"/>
      <c r="L141" s="606"/>
      <c r="M141" s="606"/>
      <c r="N141" s="606"/>
      <c r="O141" s="606"/>
      <c r="P141" s="606"/>
      <c r="Q141" s="606"/>
      <c r="R141" s="606"/>
      <c r="T141" s="622"/>
      <c r="U141" s="622"/>
      <c r="V141" s="622"/>
      <c r="W141" s="622"/>
      <c r="X141" s="622"/>
    </row>
    <row r="142" spans="4:24" ht="15" customHeight="1">
      <c r="D142" s="606"/>
      <c r="E142" s="606"/>
      <c r="F142" s="606"/>
      <c r="G142" s="606"/>
      <c r="H142" s="606"/>
      <c r="J142" s="606"/>
      <c r="K142" s="606"/>
      <c r="L142" s="606"/>
      <c r="M142" s="606"/>
      <c r="N142" s="606"/>
      <c r="O142" s="606"/>
      <c r="P142" s="606"/>
      <c r="Q142" s="636" t="s">
        <v>547</v>
      </c>
      <c r="R142" s="606"/>
      <c r="T142" s="622"/>
      <c r="U142" s="622"/>
      <c r="V142" s="622"/>
      <c r="W142" s="622"/>
      <c r="X142" s="622"/>
    </row>
    <row r="143" spans="4:25" ht="18">
      <c r="D143" s="606"/>
      <c r="E143" s="606"/>
      <c r="F143" s="606"/>
      <c r="G143" s="606"/>
      <c r="H143" s="606"/>
      <c r="J143" s="606"/>
      <c r="K143" s="606"/>
      <c r="L143" s="606"/>
      <c r="N143" s="606"/>
      <c r="R143" s="647"/>
      <c r="S143" s="647"/>
      <c r="T143" s="647"/>
      <c r="U143" s="647"/>
      <c r="V143" s="647"/>
      <c r="W143" s="647"/>
      <c r="X143" s="622"/>
      <c r="Y143" s="580">
        <v>144</v>
      </c>
    </row>
    <row r="144" spans="7:24" ht="15" customHeight="1">
      <c r="G144" s="606"/>
      <c r="H144" s="606"/>
      <c r="M144" s="602"/>
      <c r="N144" s="606"/>
      <c r="Q144" s="606"/>
      <c r="R144" s="648"/>
      <c r="S144" s="648"/>
      <c r="T144" s="647"/>
      <c r="U144" s="647"/>
      <c r="V144" s="647"/>
      <c r="W144" s="647"/>
      <c r="X144" s="622"/>
    </row>
    <row r="145" spans="1:24" ht="18">
      <c r="A145" s="701" t="s">
        <v>558</v>
      </c>
      <c r="B145" s="701"/>
      <c r="C145" s="701"/>
      <c r="D145" s="701"/>
      <c r="E145" s="701"/>
      <c r="F145" s="701"/>
      <c r="G145" s="701"/>
      <c r="H145" s="701"/>
      <c r="I145" s="701"/>
      <c r="J145" s="701"/>
      <c r="K145" s="701"/>
      <c r="L145" s="701"/>
      <c r="M145" s="701"/>
      <c r="N145" s="701"/>
      <c r="O145" s="701"/>
      <c r="P145" s="701"/>
      <c r="Q145" s="701"/>
      <c r="R145" s="701"/>
      <c r="S145" s="701"/>
      <c r="T145" s="647"/>
      <c r="U145" s="647"/>
      <c r="V145" s="647"/>
      <c r="W145" s="647"/>
      <c r="X145" s="622"/>
    </row>
    <row r="146" spans="1:24" ht="18">
      <c r="A146" s="647"/>
      <c r="B146" s="647"/>
      <c r="C146" s="647"/>
      <c r="D146" s="647"/>
      <c r="E146" s="647"/>
      <c r="F146" s="647"/>
      <c r="G146" s="648"/>
      <c r="H146" s="648"/>
      <c r="I146" s="648"/>
      <c r="J146" s="648"/>
      <c r="K146" s="648"/>
      <c r="L146" s="648"/>
      <c r="M146" s="648"/>
      <c r="N146" s="648"/>
      <c r="O146" s="648"/>
      <c r="P146" s="648"/>
      <c r="Q146" s="648"/>
      <c r="R146" s="647"/>
      <c r="S146" s="647"/>
      <c r="T146" s="647"/>
      <c r="U146" s="647"/>
      <c r="V146" s="647"/>
      <c r="W146" s="647"/>
      <c r="X146" s="622"/>
    </row>
    <row r="147" spans="1:24" ht="18">
      <c r="A147" s="647"/>
      <c r="B147" s="647"/>
      <c r="E147" s="649"/>
      <c r="F147" s="647"/>
      <c r="G147" s="647"/>
      <c r="H147" s="647"/>
      <c r="I147" s="647"/>
      <c r="J147" s="647"/>
      <c r="K147" s="647"/>
      <c r="L147" s="647"/>
      <c r="M147" s="647"/>
      <c r="N147" s="647"/>
      <c r="O147" s="647"/>
      <c r="P147" s="647"/>
      <c r="Q147" s="647"/>
      <c r="R147" s="647"/>
      <c r="S147" s="647"/>
      <c r="T147" s="647"/>
      <c r="U147" s="647"/>
      <c r="V147" s="647"/>
      <c r="W147" s="647"/>
      <c r="X147" s="622"/>
    </row>
    <row r="148" spans="2:24" ht="15" customHeight="1">
      <c r="B148" s="647"/>
      <c r="C148" s="647"/>
      <c r="D148" s="647"/>
      <c r="F148" s="650"/>
      <c r="O148" s="647"/>
      <c r="P148" s="647"/>
      <c r="Q148" s="647"/>
      <c r="R148" s="647"/>
      <c r="S148" s="647"/>
      <c r="T148" s="647"/>
      <c r="U148" s="647"/>
      <c r="V148" s="647"/>
      <c r="W148" s="647"/>
      <c r="X148" s="622"/>
    </row>
    <row r="149" spans="1:24" ht="18">
      <c r="A149" s="651"/>
      <c r="B149" s="651"/>
      <c r="C149" s="647"/>
      <c r="D149" s="647"/>
      <c r="F149" s="650"/>
      <c r="G149" s="647"/>
      <c r="N149" s="647"/>
      <c r="O149" s="647"/>
      <c r="P149" s="647"/>
      <c r="Q149" s="647"/>
      <c r="R149" s="647"/>
      <c r="S149" s="647"/>
      <c r="T149" s="647"/>
      <c r="U149" s="647"/>
      <c r="V149" s="647"/>
      <c r="W149" s="647"/>
      <c r="X149" s="622"/>
    </row>
    <row r="150" spans="3:24" ht="18">
      <c r="C150" s="647"/>
      <c r="D150" s="647"/>
      <c r="F150" s="650"/>
      <c r="G150" s="647"/>
      <c r="J150" s="647"/>
      <c r="N150" s="647"/>
      <c r="O150" s="647"/>
      <c r="P150" s="647"/>
      <c r="Q150" s="647"/>
      <c r="R150" s="647"/>
      <c r="S150" s="647"/>
      <c r="T150" s="647"/>
      <c r="U150" s="647"/>
      <c r="V150" s="647"/>
      <c r="W150" s="647"/>
      <c r="X150" s="622"/>
    </row>
    <row r="151" spans="1:24" ht="15" customHeight="1">
      <c r="A151" s="651"/>
      <c r="B151" s="651"/>
      <c r="C151" s="647"/>
      <c r="D151" s="647"/>
      <c r="F151" s="650"/>
      <c r="G151" s="647"/>
      <c r="N151" s="647"/>
      <c r="O151" s="647"/>
      <c r="P151" s="647"/>
      <c r="Q151" s="647"/>
      <c r="R151" s="647"/>
      <c r="S151" s="647"/>
      <c r="T151" s="647"/>
      <c r="U151" s="647"/>
      <c r="V151" s="647"/>
      <c r="W151" s="647"/>
      <c r="X151" s="622"/>
    </row>
    <row r="152" spans="3:24" ht="18">
      <c r="C152" s="647"/>
      <c r="D152" s="647"/>
      <c r="F152" s="650"/>
      <c r="G152" s="647"/>
      <c r="H152" s="647"/>
      <c r="I152" s="647"/>
      <c r="J152" s="647"/>
      <c r="K152" s="647"/>
      <c r="L152" s="647"/>
      <c r="M152" s="647"/>
      <c r="N152" s="647"/>
      <c r="O152" s="647"/>
      <c r="P152" s="647"/>
      <c r="Q152" s="647"/>
      <c r="R152" s="647"/>
      <c r="S152" s="647"/>
      <c r="T152" s="647"/>
      <c r="U152" s="647"/>
      <c r="V152" s="647"/>
      <c r="W152" s="647"/>
      <c r="X152" s="622"/>
    </row>
    <row r="153" spans="1:24" ht="18">
      <c r="A153" s="651"/>
      <c r="B153" s="651"/>
      <c r="C153" s="647"/>
      <c r="D153" s="647"/>
      <c r="F153" s="650"/>
      <c r="G153" s="647"/>
      <c r="N153" s="647"/>
      <c r="O153" s="647"/>
      <c r="P153" s="647"/>
      <c r="Q153" s="647"/>
      <c r="R153" s="647"/>
      <c r="S153" s="647"/>
      <c r="T153" s="647"/>
      <c r="U153" s="647"/>
      <c r="V153" s="647"/>
      <c r="W153" s="647"/>
      <c r="X153" s="622"/>
    </row>
    <row r="154" spans="1:24" ht="18">
      <c r="A154" s="652"/>
      <c r="B154" s="647"/>
      <c r="C154" s="647"/>
      <c r="D154" s="647"/>
      <c r="E154" s="647"/>
      <c r="F154" s="647"/>
      <c r="G154" s="647"/>
      <c r="H154" s="647"/>
      <c r="I154" s="647"/>
      <c r="J154" s="647"/>
      <c r="K154" s="647"/>
      <c r="L154" s="647"/>
      <c r="M154" s="647"/>
      <c r="N154" s="647"/>
      <c r="O154" s="647"/>
      <c r="P154" s="647"/>
      <c r="Q154" s="647"/>
      <c r="R154" s="647"/>
      <c r="S154" s="647"/>
      <c r="T154" s="647"/>
      <c r="U154" s="647"/>
      <c r="V154" s="647"/>
      <c r="W154" s="647"/>
      <c r="X154" s="622"/>
    </row>
    <row r="155" spans="1:24" ht="18">
      <c r="A155" s="652"/>
      <c r="B155" s="651"/>
      <c r="C155" s="647"/>
      <c r="D155" s="647"/>
      <c r="E155" s="647"/>
      <c r="F155" s="647"/>
      <c r="G155" s="647"/>
      <c r="H155" s="647"/>
      <c r="I155" s="647"/>
      <c r="J155" s="647"/>
      <c r="K155" s="647"/>
      <c r="L155" s="647"/>
      <c r="M155" s="647"/>
      <c r="N155" s="647"/>
      <c r="O155" s="647"/>
      <c r="P155" s="647"/>
      <c r="Q155" s="647"/>
      <c r="R155" s="647"/>
      <c r="S155" s="647"/>
      <c r="T155" s="647"/>
      <c r="U155" s="647"/>
      <c r="V155" s="647"/>
      <c r="W155" s="647"/>
      <c r="X155" s="622"/>
    </row>
    <row r="156" spans="1:24" ht="18">
      <c r="A156" s="652"/>
      <c r="B156" s="651"/>
      <c r="C156" s="647"/>
      <c r="D156" s="647"/>
      <c r="E156" s="647"/>
      <c r="F156" s="647"/>
      <c r="G156" s="647"/>
      <c r="H156" s="647"/>
      <c r="I156" s="647"/>
      <c r="J156" s="647"/>
      <c r="K156" s="647"/>
      <c r="L156" s="647"/>
      <c r="M156" s="647"/>
      <c r="N156" s="647"/>
      <c r="O156" s="647"/>
      <c r="P156" s="647"/>
      <c r="Q156" s="647"/>
      <c r="R156" s="647"/>
      <c r="S156" s="647"/>
      <c r="T156" s="647"/>
      <c r="U156" s="647"/>
      <c r="V156" s="647"/>
      <c r="W156" s="647"/>
      <c r="X156" s="622"/>
    </row>
    <row r="157" spans="1:24" ht="18">
      <c r="A157" s="652"/>
      <c r="B157" s="647"/>
      <c r="C157" s="647"/>
      <c r="D157" s="647"/>
      <c r="E157" s="647"/>
      <c r="F157" s="647"/>
      <c r="G157" s="647"/>
      <c r="H157" s="647"/>
      <c r="I157" s="647"/>
      <c r="J157" s="647"/>
      <c r="K157" s="647"/>
      <c r="L157" s="647"/>
      <c r="M157" s="647"/>
      <c r="N157" s="647"/>
      <c r="O157" s="647"/>
      <c r="P157" s="647"/>
      <c r="Q157" s="647"/>
      <c r="R157" s="647"/>
      <c r="S157" s="647"/>
      <c r="T157" s="647"/>
      <c r="U157" s="647"/>
      <c r="V157" s="647"/>
      <c r="W157" s="647"/>
      <c r="X157" s="622"/>
    </row>
    <row r="158" spans="1:24" ht="18">
      <c r="A158" s="651"/>
      <c r="B158" s="651"/>
      <c r="C158" s="647"/>
      <c r="D158" s="647"/>
      <c r="F158" s="650"/>
      <c r="G158" s="647"/>
      <c r="N158" s="647"/>
      <c r="O158" s="647"/>
      <c r="P158" s="647"/>
      <c r="Q158" s="647"/>
      <c r="R158" s="647"/>
      <c r="S158" s="647"/>
      <c r="T158" s="647"/>
      <c r="U158" s="647"/>
      <c r="V158" s="647"/>
      <c r="W158" s="647"/>
      <c r="X158" s="622"/>
    </row>
    <row r="159" spans="1:24" ht="14.25" customHeight="1">
      <c r="A159" s="647"/>
      <c r="B159" s="651"/>
      <c r="C159" s="647"/>
      <c r="D159" s="647"/>
      <c r="E159" s="647"/>
      <c r="F159" s="647"/>
      <c r="G159" s="647"/>
      <c r="H159" s="647"/>
      <c r="I159" s="647"/>
      <c r="J159" s="647"/>
      <c r="K159" s="647"/>
      <c r="L159" s="647"/>
      <c r="M159" s="647"/>
      <c r="N159" s="647"/>
      <c r="O159" s="647"/>
      <c r="P159" s="647"/>
      <c r="Q159" s="647"/>
      <c r="R159" s="647"/>
      <c r="S159" s="647"/>
      <c r="T159" s="647"/>
      <c r="U159" s="647"/>
      <c r="V159" s="647"/>
      <c r="W159" s="647"/>
      <c r="X159" s="622"/>
    </row>
    <row r="160" spans="1:24" ht="12" customHeight="1">
      <c r="A160" s="647"/>
      <c r="B160" s="647"/>
      <c r="C160" s="647"/>
      <c r="D160" s="647"/>
      <c r="E160" s="647"/>
      <c r="F160" s="647"/>
      <c r="G160" s="647"/>
      <c r="H160" s="647"/>
      <c r="I160" s="647"/>
      <c r="J160" s="647"/>
      <c r="K160" s="647"/>
      <c r="L160" s="647"/>
      <c r="M160" s="647"/>
      <c r="N160" s="647"/>
      <c r="O160" s="647"/>
      <c r="P160" s="647"/>
      <c r="Q160" s="647"/>
      <c r="R160" s="647"/>
      <c r="S160" s="647"/>
      <c r="T160" s="647"/>
      <c r="U160" s="647"/>
      <c r="V160" s="647"/>
      <c r="W160" s="647"/>
      <c r="X160" s="622"/>
    </row>
    <row r="161" spans="1:13" s="647" customFormat="1" ht="18" customHeight="1">
      <c r="A161" s="651"/>
      <c r="B161" s="651"/>
      <c r="E161" s="580"/>
      <c r="F161" s="650"/>
      <c r="H161" s="580"/>
      <c r="I161" s="580"/>
      <c r="J161" s="580"/>
      <c r="K161" s="580"/>
      <c r="L161" s="580"/>
      <c r="M161" s="580"/>
    </row>
    <row r="162" s="647" customFormat="1" ht="18">
      <c r="B162" s="651"/>
    </row>
    <row r="163" s="647" customFormat="1" ht="18"/>
    <row r="164" spans="1:13" s="647" customFormat="1" ht="18">
      <c r="A164" s="651"/>
      <c r="B164" s="651"/>
      <c r="E164" s="580"/>
      <c r="F164" s="650"/>
      <c r="H164" s="580"/>
      <c r="I164" s="580"/>
      <c r="J164" s="580"/>
      <c r="K164" s="580"/>
      <c r="L164" s="580"/>
      <c r="M164" s="580"/>
    </row>
    <row r="165" s="647" customFormat="1" ht="18">
      <c r="B165" s="651"/>
    </row>
    <row r="166" s="647" customFormat="1" ht="18">
      <c r="A166" s="652"/>
    </row>
    <row r="167" spans="1:13" s="647" customFormat="1" ht="18">
      <c r="A167" s="651"/>
      <c r="B167" s="651"/>
      <c r="E167" s="580"/>
      <c r="F167" s="650"/>
      <c r="H167" s="580"/>
      <c r="I167" s="580"/>
      <c r="J167" s="580"/>
      <c r="K167" s="580"/>
      <c r="L167" s="580"/>
      <c r="M167" s="580"/>
    </row>
    <row r="168" spans="18:23" s="647" customFormat="1" ht="18">
      <c r="R168" s="653"/>
      <c r="S168" s="653"/>
      <c r="T168" s="653"/>
      <c r="U168" s="653"/>
      <c r="V168" s="653"/>
      <c r="W168" s="653"/>
    </row>
    <row r="169" spans="1:17" s="647" customFormat="1" ht="18">
      <c r="A169" s="653"/>
      <c r="B169" s="653"/>
      <c r="C169" s="653"/>
      <c r="D169" s="653"/>
      <c r="E169" s="653"/>
      <c r="F169" s="653"/>
      <c r="G169" s="653"/>
      <c r="H169" s="653"/>
      <c r="I169" s="653"/>
      <c r="J169" s="653"/>
      <c r="K169" s="653"/>
      <c r="L169" s="653"/>
      <c r="M169" s="653"/>
      <c r="N169" s="653"/>
      <c r="O169" s="653"/>
      <c r="P169" s="653"/>
      <c r="Q169" s="653"/>
    </row>
    <row r="170" spans="18:19" s="647" customFormat="1" ht="18">
      <c r="R170" s="655"/>
      <c r="S170" s="655"/>
    </row>
    <row r="171" spans="1:6" s="647" customFormat="1" ht="18">
      <c r="A171" s="654"/>
      <c r="B171" s="655"/>
      <c r="C171" s="655"/>
      <c r="D171" s="655"/>
      <c r="E171" s="655"/>
      <c r="F171" s="655"/>
    </row>
    <row r="172" spans="7:17" s="647" customFormat="1" ht="18">
      <c r="G172" s="655"/>
      <c r="H172" s="655"/>
      <c r="I172" s="655"/>
      <c r="J172" s="655"/>
      <c r="K172" s="655"/>
      <c r="L172" s="655"/>
      <c r="M172" s="655"/>
      <c r="N172" s="655"/>
      <c r="O172" s="655"/>
      <c r="P172" s="655"/>
      <c r="Q172" s="655"/>
    </row>
    <row r="173" s="647" customFormat="1" ht="18" customHeight="1"/>
    <row r="174" s="647" customFormat="1" ht="18"/>
    <row r="175" s="647" customFormat="1" ht="18"/>
    <row r="176" s="647" customFormat="1" ht="18"/>
    <row r="177" s="647" customFormat="1" ht="18"/>
    <row r="178" s="647" customFormat="1" ht="18"/>
    <row r="179" s="647" customFormat="1" ht="18">
      <c r="A179" s="652"/>
    </row>
    <row r="180" s="647" customFormat="1" ht="18"/>
    <row r="181" s="647" customFormat="1" ht="18"/>
    <row r="182" s="647" customFormat="1" ht="18" customHeight="1">
      <c r="A182" s="580"/>
    </row>
    <row r="183" spans="1:23" s="653" customFormat="1" ht="18">
      <c r="A183" s="647"/>
      <c r="B183" s="647"/>
      <c r="C183" s="647"/>
      <c r="D183" s="647"/>
      <c r="E183" s="647"/>
      <c r="F183" s="647"/>
      <c r="G183" s="647"/>
      <c r="H183" s="647"/>
      <c r="I183" s="647"/>
      <c r="J183" s="647"/>
      <c r="K183" s="647"/>
      <c r="L183" s="647"/>
      <c r="M183" s="647"/>
      <c r="N183" s="647"/>
      <c r="O183" s="647"/>
      <c r="P183" s="647"/>
      <c r="Q183" s="647"/>
      <c r="R183" s="647"/>
      <c r="S183" s="647"/>
      <c r="T183" s="647"/>
      <c r="U183" s="647"/>
      <c r="V183" s="647"/>
      <c r="W183" s="647"/>
    </row>
    <row r="184" s="647" customFormat="1" ht="18"/>
    <row r="185" s="647" customFormat="1" ht="18"/>
    <row r="186" s="647" customFormat="1" ht="18"/>
    <row r="187" s="647" customFormat="1" ht="18">
      <c r="I187" s="580"/>
    </row>
    <row r="188" s="647" customFormat="1" ht="18">
      <c r="I188" s="580"/>
    </row>
    <row r="189" s="647" customFormat="1" ht="18">
      <c r="I189" s="580"/>
    </row>
    <row r="190" s="647" customFormat="1" ht="18"/>
    <row r="191" s="647" customFormat="1" ht="18"/>
    <row r="192" s="647" customFormat="1" ht="18"/>
    <row r="193" s="647" customFormat="1" ht="18"/>
    <row r="194" s="647" customFormat="1" ht="18"/>
    <row r="195" s="647" customFormat="1" ht="18"/>
    <row r="196" spans="18:23" s="647" customFormat="1" ht="18">
      <c r="R196" s="580"/>
      <c r="S196" s="580"/>
      <c r="T196" s="580"/>
      <c r="U196" s="580"/>
      <c r="V196" s="580"/>
      <c r="W196" s="580"/>
    </row>
    <row r="197" spans="1:23" s="647" customFormat="1" ht="18">
      <c r="A197" s="580"/>
      <c r="B197" s="580"/>
      <c r="C197" s="580"/>
      <c r="D197" s="580"/>
      <c r="E197" s="580"/>
      <c r="F197" s="580"/>
      <c r="R197" s="580"/>
      <c r="S197" s="580"/>
      <c r="T197" s="580"/>
      <c r="U197" s="580"/>
      <c r="V197" s="580"/>
      <c r="W197" s="580"/>
    </row>
    <row r="198" spans="1:23" s="647" customFormat="1" ht="18">
      <c r="A198" s="580"/>
      <c r="B198" s="580"/>
      <c r="C198" s="580"/>
      <c r="D198" s="580"/>
      <c r="E198" s="580"/>
      <c r="F198" s="580"/>
      <c r="G198" s="580"/>
      <c r="H198" s="580"/>
      <c r="I198" s="580"/>
      <c r="J198" s="580"/>
      <c r="K198" s="580"/>
      <c r="L198" s="580"/>
      <c r="N198" s="580"/>
      <c r="O198" s="580"/>
      <c r="P198" s="580"/>
      <c r="Q198" s="580"/>
      <c r="R198" s="580"/>
      <c r="S198" s="580"/>
      <c r="T198" s="580"/>
      <c r="U198" s="580"/>
      <c r="V198" s="580"/>
      <c r="W198" s="580"/>
    </row>
    <row r="199" spans="1:23" s="647" customFormat="1" ht="18">
      <c r="A199" s="580"/>
      <c r="B199" s="580"/>
      <c r="C199" s="580"/>
      <c r="D199" s="580"/>
      <c r="E199" s="580"/>
      <c r="F199" s="580"/>
      <c r="G199" s="580"/>
      <c r="H199" s="580"/>
      <c r="I199" s="580"/>
      <c r="J199" s="580"/>
      <c r="K199" s="580"/>
      <c r="L199" s="580"/>
      <c r="M199" s="580"/>
      <c r="N199" s="580"/>
      <c r="O199" s="580"/>
      <c r="P199" s="580"/>
      <c r="Q199" s="580"/>
      <c r="R199" s="580"/>
      <c r="S199" s="580"/>
      <c r="T199" s="580"/>
      <c r="U199" s="580"/>
      <c r="V199" s="580"/>
      <c r="W199" s="580"/>
    </row>
    <row r="200" spans="1:23" s="647" customFormat="1" ht="18">
      <c r="A200" s="580"/>
      <c r="B200" s="580"/>
      <c r="C200" s="580"/>
      <c r="D200" s="580"/>
      <c r="E200" s="580"/>
      <c r="F200" s="580"/>
      <c r="G200" s="580"/>
      <c r="H200" s="580"/>
      <c r="I200" s="580"/>
      <c r="J200" s="580"/>
      <c r="K200" s="580"/>
      <c r="L200" s="580"/>
      <c r="M200" s="580"/>
      <c r="N200" s="580"/>
      <c r="O200" s="580"/>
      <c r="P200" s="580"/>
      <c r="Q200" s="580"/>
      <c r="R200" s="580"/>
      <c r="S200" s="580"/>
      <c r="T200" s="580"/>
      <c r="U200" s="580"/>
      <c r="V200" s="580"/>
      <c r="W200" s="580"/>
    </row>
    <row r="201" spans="1:23" s="647" customFormat="1" ht="18">
      <c r="A201" s="580"/>
      <c r="B201" s="580"/>
      <c r="C201" s="580"/>
      <c r="D201" s="580"/>
      <c r="E201" s="580"/>
      <c r="F201" s="580"/>
      <c r="G201" s="580"/>
      <c r="H201" s="580"/>
      <c r="I201" s="580"/>
      <c r="J201" s="580"/>
      <c r="K201" s="580"/>
      <c r="L201" s="580"/>
      <c r="M201" s="580"/>
      <c r="N201" s="580"/>
      <c r="O201" s="580"/>
      <c r="P201" s="580"/>
      <c r="Q201" s="580"/>
      <c r="R201" s="580"/>
      <c r="S201" s="580"/>
      <c r="T201" s="580"/>
      <c r="U201" s="580"/>
      <c r="V201" s="580"/>
      <c r="W201" s="580"/>
    </row>
    <row r="202" spans="1:23" s="647" customFormat="1" ht="18">
      <c r="A202" s="580"/>
      <c r="B202" s="580"/>
      <c r="C202" s="580"/>
      <c r="D202" s="580"/>
      <c r="E202" s="580"/>
      <c r="F202" s="580"/>
      <c r="G202" s="580"/>
      <c r="H202" s="580"/>
      <c r="I202" s="580"/>
      <c r="J202" s="580"/>
      <c r="K202" s="580"/>
      <c r="L202" s="580"/>
      <c r="M202" s="580"/>
      <c r="N202" s="580"/>
      <c r="O202" s="580"/>
      <c r="P202" s="580"/>
      <c r="Q202" s="580"/>
      <c r="R202" s="580"/>
      <c r="S202" s="580"/>
      <c r="T202" s="580"/>
      <c r="U202" s="580"/>
      <c r="V202" s="580"/>
      <c r="W202" s="580"/>
    </row>
    <row r="203" spans="1:23" s="647" customFormat="1" ht="18">
      <c r="A203" s="580"/>
      <c r="B203" s="580"/>
      <c r="C203" s="580"/>
      <c r="D203" s="580"/>
      <c r="E203" s="580"/>
      <c r="F203" s="580"/>
      <c r="G203" s="580"/>
      <c r="H203" s="580"/>
      <c r="I203" s="580"/>
      <c r="J203" s="580"/>
      <c r="K203" s="580"/>
      <c r="L203" s="580"/>
      <c r="M203" s="580"/>
      <c r="N203" s="580"/>
      <c r="O203" s="580"/>
      <c r="P203" s="580"/>
      <c r="Q203" s="580"/>
      <c r="R203" s="580"/>
      <c r="S203" s="580"/>
      <c r="T203" s="580"/>
      <c r="U203" s="580"/>
      <c r="V203" s="580"/>
      <c r="W203" s="580"/>
    </row>
    <row r="204" spans="1:23" s="647" customFormat="1" ht="18">
      <c r="A204" s="580"/>
      <c r="B204" s="580"/>
      <c r="C204" s="580"/>
      <c r="D204" s="580"/>
      <c r="E204" s="580"/>
      <c r="F204" s="580"/>
      <c r="G204" s="580"/>
      <c r="H204" s="580"/>
      <c r="I204" s="580"/>
      <c r="J204" s="580"/>
      <c r="K204" s="580"/>
      <c r="L204" s="580"/>
      <c r="M204" s="580"/>
      <c r="N204" s="580"/>
      <c r="O204" s="580"/>
      <c r="P204" s="580"/>
      <c r="Q204" s="580"/>
      <c r="R204" s="580"/>
      <c r="S204" s="580"/>
      <c r="T204" s="580"/>
      <c r="U204" s="580"/>
      <c r="V204" s="580"/>
      <c r="W204" s="580"/>
    </row>
    <row r="205" spans="1:23" s="647" customFormat="1" ht="18">
      <c r="A205" s="580"/>
      <c r="B205" s="580"/>
      <c r="C205" s="580"/>
      <c r="D205" s="580"/>
      <c r="E205" s="580"/>
      <c r="F205" s="580"/>
      <c r="G205" s="580"/>
      <c r="H205" s="580"/>
      <c r="I205" s="580"/>
      <c r="J205" s="580"/>
      <c r="K205" s="580"/>
      <c r="L205" s="580"/>
      <c r="M205" s="580"/>
      <c r="N205" s="580"/>
      <c r="O205" s="580"/>
      <c r="P205" s="580"/>
      <c r="Q205" s="580"/>
      <c r="R205" s="580"/>
      <c r="S205" s="580"/>
      <c r="T205" s="580"/>
      <c r="U205" s="580"/>
      <c r="V205" s="580"/>
      <c r="W205" s="580"/>
    </row>
    <row r="206" spans="1:23" s="647" customFormat="1" ht="18">
      <c r="A206" s="580"/>
      <c r="B206" s="580"/>
      <c r="C206" s="580"/>
      <c r="D206" s="580"/>
      <c r="E206" s="580"/>
      <c r="F206" s="580"/>
      <c r="G206" s="580"/>
      <c r="H206" s="580"/>
      <c r="I206" s="580"/>
      <c r="J206" s="580"/>
      <c r="K206" s="580"/>
      <c r="L206" s="580"/>
      <c r="M206" s="580"/>
      <c r="N206" s="580"/>
      <c r="O206" s="580"/>
      <c r="P206" s="580"/>
      <c r="Q206" s="580"/>
      <c r="R206" s="580"/>
      <c r="S206" s="580"/>
      <c r="T206" s="580"/>
      <c r="U206" s="580"/>
      <c r="V206" s="580"/>
      <c r="W206" s="580"/>
    </row>
    <row r="207" spans="1:23" s="647" customFormat="1" ht="18">
      <c r="A207" s="580"/>
      <c r="B207" s="580"/>
      <c r="C207" s="580"/>
      <c r="D207" s="580"/>
      <c r="E207" s="580"/>
      <c r="F207" s="580"/>
      <c r="G207" s="580"/>
      <c r="H207" s="580"/>
      <c r="I207" s="580"/>
      <c r="J207" s="580"/>
      <c r="K207" s="580"/>
      <c r="L207" s="580"/>
      <c r="M207" s="580"/>
      <c r="N207" s="580"/>
      <c r="O207" s="580"/>
      <c r="P207" s="580"/>
      <c r="Q207" s="580"/>
      <c r="R207" s="580"/>
      <c r="S207" s="580"/>
      <c r="T207" s="580"/>
      <c r="U207" s="580"/>
      <c r="V207" s="580"/>
      <c r="W207" s="580"/>
    </row>
    <row r="208" spans="1:23" s="647" customFormat="1" ht="18">
      <c r="A208" s="580"/>
      <c r="B208" s="580"/>
      <c r="C208" s="580"/>
      <c r="D208" s="580"/>
      <c r="E208" s="580"/>
      <c r="F208" s="580"/>
      <c r="G208" s="580"/>
      <c r="H208" s="580"/>
      <c r="I208" s="580"/>
      <c r="J208" s="580"/>
      <c r="K208" s="580"/>
      <c r="L208" s="580"/>
      <c r="M208" s="580"/>
      <c r="N208" s="580"/>
      <c r="O208" s="580"/>
      <c r="P208" s="580"/>
      <c r="Q208" s="580"/>
      <c r="R208" s="580"/>
      <c r="S208" s="580"/>
      <c r="T208" s="580"/>
      <c r="U208" s="580"/>
      <c r="V208" s="580"/>
      <c r="W208" s="580"/>
    </row>
    <row r="209" spans="1:23" s="647" customFormat="1" ht="18">
      <c r="A209" s="580"/>
      <c r="B209" s="580"/>
      <c r="C209" s="580"/>
      <c r="D209" s="580"/>
      <c r="E209" s="580"/>
      <c r="F209" s="580"/>
      <c r="G209" s="580"/>
      <c r="H209" s="580"/>
      <c r="I209" s="580"/>
      <c r="J209" s="580"/>
      <c r="K209" s="580"/>
      <c r="L209" s="580"/>
      <c r="M209" s="580"/>
      <c r="N209" s="580"/>
      <c r="O209" s="580"/>
      <c r="P209" s="580"/>
      <c r="Q209" s="580"/>
      <c r="R209" s="580"/>
      <c r="S209" s="580"/>
      <c r="T209" s="580"/>
      <c r="U209" s="580"/>
      <c r="V209" s="580"/>
      <c r="W209" s="580"/>
    </row>
    <row r="210" spans="1:23" s="647" customFormat="1" ht="18">
      <c r="A210" s="580"/>
      <c r="B210" s="580"/>
      <c r="C210" s="580"/>
      <c r="D210" s="580"/>
      <c r="E210" s="580"/>
      <c r="F210" s="580"/>
      <c r="G210" s="580"/>
      <c r="H210" s="580"/>
      <c r="I210" s="580"/>
      <c r="J210" s="580"/>
      <c r="K210" s="580"/>
      <c r="L210" s="580"/>
      <c r="M210" s="580"/>
      <c r="N210" s="580"/>
      <c r="O210" s="580"/>
      <c r="P210" s="580"/>
      <c r="Q210" s="580"/>
      <c r="R210" s="580"/>
      <c r="S210" s="580"/>
      <c r="T210" s="580"/>
      <c r="U210" s="580"/>
      <c r="V210" s="580"/>
      <c r="W210" s="580"/>
    </row>
  </sheetData>
  <sheetProtection/>
  <mergeCells count="6">
    <mergeCell ref="B96:O96"/>
    <mergeCell ref="A145:S145"/>
    <mergeCell ref="H10:K10"/>
    <mergeCell ref="B54:O54"/>
    <mergeCell ref="H57:K57"/>
    <mergeCell ref="H58:K58"/>
  </mergeCells>
  <printOptions/>
  <pageMargins left="0.59" right="0.36" top="0.62" bottom="0.66" header="0.37" footer="0.39"/>
  <pageSetup horizontalDpi="600" verticalDpi="600" orientation="portrait" paperSize="9" r:id="rId4"/>
  <rowBreaks count="1" manualBreakCount="1">
    <brk id="93" max="255" man="1"/>
  </rowBreaks>
  <drawing r:id="rId3"/>
  <legacyDrawing r:id="rId2"/>
  <oleObjects>
    <oleObject progId="PBrush" shapeId="8208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Z65"/>
  <sheetViews>
    <sheetView zoomScalePageLayoutView="0" workbookViewId="0" topLeftCell="A7">
      <selection activeCell="G25" sqref="G25:H25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11" t="s">
        <v>112</v>
      </c>
      <c r="F1" s="811"/>
      <c r="G1" s="811"/>
      <c r="H1" s="811"/>
      <c r="I1" s="811"/>
      <c r="J1" s="811"/>
      <c r="K1" s="811"/>
      <c r="L1" s="811"/>
      <c r="M1" s="811"/>
    </row>
    <row r="2" spans="5:13" s="203" customFormat="1" ht="21" customHeight="1">
      <c r="E2" s="1056" t="str">
        <f>IF(Mannschaften!D2="","",Mannschaften!D2)</f>
        <v>Ostdeutsche Meisterschaft der männl. Jugend 14 Halle 13/14</v>
      </c>
      <c r="F2" s="1056"/>
      <c r="G2" s="1056"/>
      <c r="H2" s="1056"/>
      <c r="I2" s="1056"/>
      <c r="J2" s="1056"/>
      <c r="K2" s="1056"/>
      <c r="L2" s="1056"/>
      <c r="M2" s="1056"/>
    </row>
    <row r="3" s="203" customFormat="1" ht="13.5" customHeight="1"/>
    <row r="4" spans="4:26" s="203" customFormat="1" ht="23.25" customHeight="1">
      <c r="D4" s="204"/>
      <c r="E4" s="777" t="str">
        <f>IF(Mannschaften!F4="","",Mannschaften!F4)</f>
        <v>Berlin</v>
      </c>
      <c r="F4" s="777"/>
      <c r="G4" s="777"/>
      <c r="H4" s="777"/>
      <c r="I4" s="185">
        <f>Mannschaften!K4</f>
        <v>41692</v>
      </c>
      <c r="J4" s="205" t="s">
        <v>92</v>
      </c>
      <c r="K4" s="185">
        <f>Mannschaften!M4</f>
        <v>41693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Berliner Turnerschaft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1057" t="s">
        <v>114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  <c r="N8" s="1057"/>
      <c r="O8" s="1057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1055" t="str">
        <f>Mannschaften!C10</f>
        <v>VfL Kellinghusen</v>
      </c>
      <c r="E10" s="1055"/>
      <c r="F10" s="1055"/>
      <c r="G10" s="1055"/>
      <c r="H10" s="1055"/>
      <c r="I10" s="186"/>
      <c r="J10" s="777"/>
      <c r="K10" s="777"/>
      <c r="L10" s="777"/>
      <c r="M10" s="777"/>
      <c r="N10" s="777"/>
      <c r="O10" s="777"/>
    </row>
    <row r="11" s="203" customFormat="1" ht="6" customHeight="1"/>
    <row r="12" spans="6:14" s="203" customFormat="1" ht="18">
      <c r="F12" s="186" t="s">
        <v>141</v>
      </c>
      <c r="G12" s="184" t="str">
        <f>Mannschaften!H3</f>
        <v>M U14</v>
      </c>
      <c r="H12" s="186"/>
      <c r="I12" s="186" t="s">
        <v>118</v>
      </c>
      <c r="L12" s="188" t="str">
        <f>IF(Mannschaften!N3="","",Mannschaften!N3)</f>
        <v>01.07.</v>
      </c>
      <c r="M12" s="189">
        <f>IF(Mannschaften!O3="","",Mannschaften!O3)</f>
        <v>1999</v>
      </c>
      <c r="N12" s="186"/>
    </row>
    <row r="13" s="203" customFormat="1" ht="13.5" thickBot="1"/>
    <row r="14" spans="1:15" s="203" customFormat="1" ht="24.75" customHeight="1" thickBot="1">
      <c r="A14" s="190"/>
      <c r="B14" s="191" t="s">
        <v>89</v>
      </c>
      <c r="C14" s="191" t="s">
        <v>18</v>
      </c>
      <c r="D14" s="1082" t="s">
        <v>20</v>
      </c>
      <c r="E14" s="1083"/>
      <c r="F14" s="1084"/>
      <c r="G14" s="1085" t="s">
        <v>115</v>
      </c>
      <c r="H14" s="1085"/>
      <c r="I14" s="1085" t="s">
        <v>140</v>
      </c>
      <c r="J14" s="1085"/>
      <c r="K14" s="1085"/>
      <c r="L14" s="192" t="s">
        <v>116</v>
      </c>
      <c r="M14" s="192"/>
      <c r="N14" s="1085" t="s">
        <v>117</v>
      </c>
      <c r="O14" s="1085"/>
    </row>
    <row r="15" spans="1:15" s="203" customFormat="1" ht="24.75" customHeight="1">
      <c r="A15" s="193">
        <v>1</v>
      </c>
      <c r="B15" s="179"/>
      <c r="C15" s="179"/>
      <c r="D15" s="1072" t="s">
        <v>615</v>
      </c>
      <c r="E15" s="1073"/>
      <c r="F15" s="1074"/>
      <c r="G15" s="1075">
        <v>37235</v>
      </c>
      <c r="H15" s="1076"/>
      <c r="I15" s="1077" t="s">
        <v>593</v>
      </c>
      <c r="J15" s="1078"/>
      <c r="K15" s="1079"/>
      <c r="L15" s="1080"/>
      <c r="M15" s="1081"/>
      <c r="N15" s="1058"/>
      <c r="O15" s="1059"/>
    </row>
    <row r="16" spans="1:15" s="203" customFormat="1" ht="24.75" customHeight="1">
      <c r="A16" s="194">
        <v>2</v>
      </c>
      <c r="B16" s="180"/>
      <c r="C16" s="180"/>
      <c r="D16" s="1060" t="s">
        <v>616</v>
      </c>
      <c r="E16" s="1061"/>
      <c r="F16" s="1062"/>
      <c r="G16" s="1063">
        <v>37422</v>
      </c>
      <c r="H16" s="1064"/>
      <c r="I16" s="1065" t="s">
        <v>593</v>
      </c>
      <c r="J16" s="1066"/>
      <c r="K16" s="1067"/>
      <c r="L16" s="1068"/>
      <c r="M16" s="1069"/>
      <c r="N16" s="1070"/>
      <c r="O16" s="1071"/>
    </row>
    <row r="17" spans="1:15" s="203" customFormat="1" ht="24.75" customHeight="1">
      <c r="A17" s="194">
        <v>3</v>
      </c>
      <c r="B17" s="180"/>
      <c r="C17" s="180"/>
      <c r="D17" s="1060" t="s">
        <v>617</v>
      </c>
      <c r="E17" s="1061"/>
      <c r="F17" s="1062"/>
      <c r="G17" s="1063">
        <v>37607</v>
      </c>
      <c r="H17" s="1064"/>
      <c r="I17" s="1065" t="s">
        <v>602</v>
      </c>
      <c r="J17" s="1066"/>
      <c r="K17" s="1067"/>
      <c r="L17" s="1068"/>
      <c r="M17" s="1069"/>
      <c r="N17" s="1070"/>
      <c r="O17" s="1071"/>
    </row>
    <row r="18" spans="1:15" s="203" customFormat="1" ht="24.75" customHeight="1">
      <c r="A18" s="194">
        <v>4</v>
      </c>
      <c r="B18" s="180"/>
      <c r="C18" s="180"/>
      <c r="D18" s="1060" t="s">
        <v>618</v>
      </c>
      <c r="E18" s="1061"/>
      <c r="F18" s="1062"/>
      <c r="G18" s="1063">
        <v>37057</v>
      </c>
      <c r="H18" s="1064"/>
      <c r="I18" s="1065" t="s">
        <v>595</v>
      </c>
      <c r="J18" s="1066"/>
      <c r="K18" s="1067"/>
      <c r="L18" s="1068"/>
      <c r="M18" s="1069"/>
      <c r="N18" s="1070"/>
      <c r="O18" s="1071"/>
    </row>
    <row r="19" spans="1:15" s="203" customFormat="1" ht="24.75" customHeight="1">
      <c r="A19" s="194">
        <v>5</v>
      </c>
      <c r="B19" s="180"/>
      <c r="C19" s="180"/>
      <c r="D19" s="1060" t="s">
        <v>619</v>
      </c>
      <c r="E19" s="1061"/>
      <c r="F19" s="1062"/>
      <c r="G19" s="1063">
        <v>36614</v>
      </c>
      <c r="H19" s="1064"/>
      <c r="I19" s="1065" t="s">
        <v>594</v>
      </c>
      <c r="J19" s="1066"/>
      <c r="K19" s="1067"/>
      <c r="L19" s="1068"/>
      <c r="M19" s="1069"/>
      <c r="N19" s="1070"/>
      <c r="O19" s="1071"/>
    </row>
    <row r="20" spans="1:15" s="203" customFormat="1" ht="24.75" customHeight="1">
      <c r="A20" s="194">
        <v>6</v>
      </c>
      <c r="B20" s="180"/>
      <c r="C20" s="180"/>
      <c r="D20" s="1060" t="s">
        <v>620</v>
      </c>
      <c r="E20" s="1061"/>
      <c r="F20" s="1062"/>
      <c r="G20" s="1063">
        <v>36398</v>
      </c>
      <c r="H20" s="1064"/>
      <c r="I20" s="1065" t="s">
        <v>602</v>
      </c>
      <c r="J20" s="1066"/>
      <c r="K20" s="1067"/>
      <c r="L20" s="1068"/>
      <c r="M20" s="1069"/>
      <c r="N20" s="1070"/>
      <c r="O20" s="1071"/>
    </row>
    <row r="21" spans="1:15" s="203" customFormat="1" ht="24.75" customHeight="1">
      <c r="A21" s="194">
        <v>7</v>
      </c>
      <c r="B21" s="180"/>
      <c r="C21" s="180"/>
      <c r="D21" s="1060"/>
      <c r="E21" s="1061"/>
      <c r="F21" s="1062"/>
      <c r="G21" s="1063"/>
      <c r="H21" s="1064"/>
      <c r="I21" s="1065"/>
      <c r="J21" s="1066"/>
      <c r="K21" s="1067"/>
      <c r="L21" s="1068"/>
      <c r="M21" s="1069"/>
      <c r="N21" s="1070"/>
      <c r="O21" s="1071"/>
    </row>
    <row r="22" spans="1:15" s="203" customFormat="1" ht="24.75" customHeight="1">
      <c r="A22" s="194">
        <v>8</v>
      </c>
      <c r="B22" s="180"/>
      <c r="C22" s="180"/>
      <c r="D22" s="1060"/>
      <c r="E22" s="1061"/>
      <c r="F22" s="1062"/>
      <c r="G22" s="1063"/>
      <c r="H22" s="1064"/>
      <c r="I22" s="1065"/>
      <c r="J22" s="1066"/>
      <c r="K22" s="1067"/>
      <c r="L22" s="1068"/>
      <c r="M22" s="1069"/>
      <c r="N22" s="1070"/>
      <c r="O22" s="1071"/>
    </row>
    <row r="23" spans="1:15" s="203" customFormat="1" ht="24.75" customHeight="1">
      <c r="A23" s="194">
        <v>9</v>
      </c>
      <c r="B23" s="180"/>
      <c r="C23" s="180"/>
      <c r="D23" s="1060"/>
      <c r="E23" s="1061"/>
      <c r="F23" s="1062"/>
      <c r="G23" s="1063"/>
      <c r="H23" s="1064"/>
      <c r="I23" s="1065"/>
      <c r="J23" s="1066"/>
      <c r="K23" s="1067"/>
      <c r="L23" s="1068"/>
      <c r="M23" s="1069"/>
      <c r="N23" s="1070"/>
      <c r="O23" s="1071"/>
    </row>
    <row r="24" spans="1:15" s="203" customFormat="1" ht="24.75" customHeight="1" thickBot="1">
      <c r="A24" s="195">
        <v>10</v>
      </c>
      <c r="B24" s="181"/>
      <c r="C24" s="181"/>
      <c r="D24" s="1086"/>
      <c r="E24" s="1087"/>
      <c r="F24" s="1088"/>
      <c r="G24" s="1089"/>
      <c r="H24" s="1090"/>
      <c r="I24" s="1091"/>
      <c r="J24" s="1092"/>
      <c r="K24" s="1093"/>
      <c r="L24" s="1094"/>
      <c r="M24" s="1095"/>
      <c r="N24" s="1096"/>
      <c r="O24" s="1097"/>
    </row>
    <row r="25" spans="1:15" s="203" customFormat="1" ht="24.75" customHeight="1">
      <c r="A25" s="196" t="s">
        <v>39</v>
      </c>
      <c r="B25" s="179"/>
      <c r="C25" s="179"/>
      <c r="D25" s="1072"/>
      <c r="E25" s="1073"/>
      <c r="F25" s="1074"/>
      <c r="G25" s="1075"/>
      <c r="H25" s="1076"/>
      <c r="I25" s="1103"/>
      <c r="J25" s="1104"/>
      <c r="K25" s="1105"/>
      <c r="L25" s="1106"/>
      <c r="M25" s="1107"/>
      <c r="N25" s="1058"/>
      <c r="O25" s="1059"/>
    </row>
    <row r="26" spans="1:15" s="203" customFormat="1" ht="24.75" customHeight="1" thickBot="1">
      <c r="A26" s="197" t="s">
        <v>40</v>
      </c>
      <c r="B26" s="181"/>
      <c r="C26" s="181"/>
      <c r="D26" s="1086"/>
      <c r="E26" s="1087"/>
      <c r="F26" s="1088"/>
      <c r="G26" s="1089"/>
      <c r="H26" s="1090"/>
      <c r="I26" s="1098"/>
      <c r="J26" s="1099"/>
      <c r="K26" s="1100"/>
      <c r="L26" s="1101"/>
      <c r="M26" s="1102"/>
      <c r="N26" s="1096"/>
      <c r="O26" s="1097"/>
    </row>
    <row r="27" spans="1:15" s="203" customFormat="1" ht="24.75" customHeight="1" thickBot="1">
      <c r="A27" s="446" t="s">
        <v>231</v>
      </c>
      <c r="B27" s="447"/>
      <c r="C27" s="447"/>
      <c r="D27" s="447"/>
      <c r="E27" s="447"/>
      <c r="F27" s="448"/>
      <c r="G27" s="449">
        <f>G65</f>
        <v>12.702739726027398</v>
      </c>
      <c r="H27" s="249" t="s">
        <v>232</v>
      </c>
      <c r="I27" s="447"/>
      <c r="J27" s="447"/>
      <c r="K27" s="447"/>
      <c r="L27" s="447"/>
      <c r="M27" s="447"/>
      <c r="N27" s="447"/>
      <c r="O27" s="448"/>
    </row>
    <row r="28" spans="11:13" ht="12.75" hidden="1">
      <c r="K28" s="182">
        <f>IF(L12="31.12.",31,IF(L12="01.01.",1,IF(L12="01.07.",1,30)))</f>
        <v>1</v>
      </c>
      <c r="L28" s="182">
        <f>IF(L12="31.12.",12,IF(L12="01.01.",1,IF(L12="01.07.",7,6)))</f>
        <v>7</v>
      </c>
      <c r="M28" s="182">
        <f>M12</f>
        <v>1999</v>
      </c>
    </row>
    <row r="29" spans="4:15" ht="12.75" hidden="1">
      <c r="D29" s="183">
        <f>IF(G15="","",G15)</f>
        <v>37235</v>
      </c>
      <c r="E29" s="183">
        <f>IF(D29="","",D29+1)</f>
        <v>37236</v>
      </c>
      <c r="F29" s="182">
        <f>IF(D29="","",DAY(D29))</f>
        <v>10</v>
      </c>
      <c r="G29" s="182">
        <f>IF(D29="","",MONTH(D29))</f>
        <v>12</v>
      </c>
      <c r="H29" s="178">
        <f>IF(D29="","",YEAR(D29))</f>
        <v>2001</v>
      </c>
      <c r="K29" s="178">
        <f>IF(D29="","",$K$28-F29)</f>
        <v>-9</v>
      </c>
      <c r="L29" s="178">
        <f aca="true" t="shared" si="0" ref="L29:L38">IF(D29="","",$L$28-G29)</f>
        <v>-5</v>
      </c>
      <c r="M29" s="178">
        <f aca="true" t="shared" si="1" ref="M29:M38">IF(D29="","",$M$28-H29)</f>
        <v>-2</v>
      </c>
      <c r="N29" s="178">
        <f>K29+(L29*100)+(M29*10000)</f>
        <v>-20509</v>
      </c>
      <c r="O29" s="178">
        <f>IF(Mannschaften!H$3=Mannschaften!K$166,N29,IF(Mannschaften!H$3=Mannschaften!K$167,N29,IF(Mannschaften!H$3=Mannschaften!K$168,N29,IF(Mannschaften!H$3=Mannschaften!K$169,N29,IF(Mannschaften!H$3=Mannschaften!K$170,N29,N29*-1)))))</f>
        <v>20509</v>
      </c>
    </row>
    <row r="30" spans="4:15" ht="12.75" hidden="1">
      <c r="D30" s="183">
        <f aca="true" t="shared" si="2" ref="D30:D38">IF(G16="","",G16)</f>
        <v>37422</v>
      </c>
      <c r="E30" s="183">
        <f aca="true" t="shared" si="3" ref="E30:E38">IF(D30="","",D30+1)</f>
        <v>37423</v>
      </c>
      <c r="F30" s="182">
        <f aca="true" t="shared" si="4" ref="F30:F38">IF(D30="","",DAY(D30))</f>
        <v>15</v>
      </c>
      <c r="G30" s="182">
        <f aca="true" t="shared" si="5" ref="G30:G38">IF(D30="","",MONTH(D30))</f>
        <v>6</v>
      </c>
      <c r="H30" s="178">
        <f aca="true" t="shared" si="6" ref="H30:H38">IF(D30="","",YEAR(D30))</f>
        <v>2002</v>
      </c>
      <c r="K30" s="178">
        <f aca="true" t="shared" si="7" ref="K30:K35">IF(D30="","",$K$28-F30)</f>
        <v>-14</v>
      </c>
      <c r="L30" s="178">
        <f t="shared" si="0"/>
        <v>1</v>
      </c>
      <c r="M30" s="178">
        <f t="shared" si="1"/>
        <v>-3</v>
      </c>
      <c r="N30" s="178">
        <f aca="true" t="shared" si="8" ref="N30:N35">K30+(L30*100)+(M30*10000)</f>
        <v>-29914</v>
      </c>
      <c r="O30" s="178">
        <f>IF(Mannschaften!H$3=Mannschaften!K$166,N30,IF(Mannschaften!H$3=Mannschaften!K$167,N30,IF(Mannschaften!H$3=Mannschaften!K$168,N30,IF(Mannschaften!H$3=Mannschaften!K$169,N30,IF(Mannschaften!H$3=Mannschaften!K$170,N30,N30*-1)))))</f>
        <v>29914</v>
      </c>
    </row>
    <row r="31" spans="4:15" ht="12.75" hidden="1">
      <c r="D31" s="183">
        <f t="shared" si="2"/>
        <v>37607</v>
      </c>
      <c r="E31" s="183">
        <f t="shared" si="3"/>
        <v>37608</v>
      </c>
      <c r="F31" s="182">
        <f t="shared" si="4"/>
        <v>17</v>
      </c>
      <c r="G31" s="182">
        <f t="shared" si="5"/>
        <v>12</v>
      </c>
      <c r="H31" s="178">
        <f t="shared" si="6"/>
        <v>2002</v>
      </c>
      <c r="K31" s="178">
        <f t="shared" si="7"/>
        <v>-16</v>
      </c>
      <c r="L31" s="178">
        <f t="shared" si="0"/>
        <v>-5</v>
      </c>
      <c r="M31" s="178">
        <f t="shared" si="1"/>
        <v>-3</v>
      </c>
      <c r="N31" s="178">
        <f t="shared" si="8"/>
        <v>-30516</v>
      </c>
      <c r="O31" s="178">
        <f>IF(Mannschaften!H$3=Mannschaften!K$166,N31,IF(Mannschaften!H$3=Mannschaften!K$167,N31,IF(Mannschaften!H$3=Mannschaften!K$168,N31,IF(Mannschaften!H$3=Mannschaften!K$169,N31,IF(Mannschaften!H$3=Mannschaften!K$170,N31,N31*-1)))))</f>
        <v>30516</v>
      </c>
    </row>
    <row r="32" spans="4:15" ht="12.75" hidden="1">
      <c r="D32" s="183">
        <f t="shared" si="2"/>
        <v>37057</v>
      </c>
      <c r="E32" s="183">
        <f t="shared" si="3"/>
        <v>37058</v>
      </c>
      <c r="F32" s="182">
        <f t="shared" si="4"/>
        <v>15</v>
      </c>
      <c r="G32" s="182">
        <f t="shared" si="5"/>
        <v>6</v>
      </c>
      <c r="H32" s="178">
        <f t="shared" si="6"/>
        <v>2001</v>
      </c>
      <c r="K32" s="178">
        <f t="shared" si="7"/>
        <v>-14</v>
      </c>
      <c r="L32" s="178">
        <f t="shared" si="0"/>
        <v>1</v>
      </c>
      <c r="M32" s="178">
        <f t="shared" si="1"/>
        <v>-2</v>
      </c>
      <c r="N32" s="178">
        <f t="shared" si="8"/>
        <v>-19914</v>
      </c>
      <c r="O32" s="178">
        <f>IF(Mannschaften!H$3=Mannschaften!K$166,N32,IF(Mannschaften!H$3=Mannschaften!K$167,N32,IF(Mannschaften!H$3=Mannschaften!K$168,N32,IF(Mannschaften!H$3=Mannschaften!K$169,N32,IF(Mannschaften!H$3=Mannschaften!K$170,N32,N32*-1)))))</f>
        <v>19914</v>
      </c>
    </row>
    <row r="33" spans="4:15" ht="12.75" hidden="1">
      <c r="D33" s="183">
        <f t="shared" si="2"/>
        <v>36614</v>
      </c>
      <c r="E33" s="183">
        <f t="shared" si="3"/>
        <v>36615</v>
      </c>
      <c r="F33" s="182">
        <f t="shared" si="4"/>
        <v>29</v>
      </c>
      <c r="G33" s="182">
        <f t="shared" si="5"/>
        <v>3</v>
      </c>
      <c r="H33" s="178">
        <f t="shared" si="6"/>
        <v>2000</v>
      </c>
      <c r="K33" s="178">
        <f t="shared" si="7"/>
        <v>-28</v>
      </c>
      <c r="L33" s="178">
        <f t="shared" si="0"/>
        <v>4</v>
      </c>
      <c r="M33" s="178">
        <f t="shared" si="1"/>
        <v>-1</v>
      </c>
      <c r="N33" s="178">
        <f t="shared" si="8"/>
        <v>-9628</v>
      </c>
      <c r="O33" s="178">
        <f>IF(Mannschaften!H$3=Mannschaften!K$166,N33,IF(Mannschaften!H$3=Mannschaften!K$167,N33,IF(Mannschaften!H$3=Mannschaften!K$168,N33,IF(Mannschaften!H$3=Mannschaften!K$169,N33,IF(Mannschaften!H$3=Mannschaften!K$170,N33,N33*-1)))))</f>
        <v>9628</v>
      </c>
    </row>
    <row r="34" spans="4:15" ht="12.75" hidden="1">
      <c r="D34" s="183">
        <f>IF(G20="","",G20)</f>
        <v>36398</v>
      </c>
      <c r="E34" s="183">
        <f t="shared" si="3"/>
        <v>36399</v>
      </c>
      <c r="F34" s="182">
        <f t="shared" si="4"/>
        <v>26</v>
      </c>
      <c r="G34" s="182">
        <f t="shared" si="5"/>
        <v>8</v>
      </c>
      <c r="H34" s="178">
        <f t="shared" si="6"/>
        <v>1999</v>
      </c>
      <c r="K34" s="178">
        <f t="shared" si="7"/>
        <v>-25</v>
      </c>
      <c r="L34" s="178">
        <f t="shared" si="0"/>
        <v>-1</v>
      </c>
      <c r="M34" s="178">
        <f t="shared" si="1"/>
        <v>0</v>
      </c>
      <c r="N34" s="178">
        <f t="shared" si="8"/>
        <v>-125</v>
      </c>
      <c r="O34" s="178">
        <f>IF(Mannschaften!H$3=Mannschaften!K$166,N34,IF(Mannschaften!H$3=Mannschaften!K$167,N34,IF(Mannschaften!H$3=Mannschaften!K$168,N34,IF(Mannschaften!H$3=Mannschaften!K$169,N34,IF(Mannschaften!H$3=Mannschaften!K$170,N34,N34*-1)))))</f>
        <v>125</v>
      </c>
    </row>
    <row r="35" spans="4:15" ht="12.75" hidden="1">
      <c r="D35" s="183">
        <f>IF(G21="","",G21)</f>
      </c>
      <c r="E35" s="183">
        <f t="shared" si="3"/>
      </c>
      <c r="F35" s="182">
        <f t="shared" si="4"/>
      </c>
      <c r="G35" s="182">
        <f t="shared" si="5"/>
      </c>
      <c r="H35" s="178">
        <f t="shared" si="6"/>
      </c>
      <c r="K35" s="178">
        <f t="shared" si="7"/>
      </c>
      <c r="L35" s="178">
        <f t="shared" si="0"/>
      </c>
      <c r="M35" s="178">
        <f t="shared" si="1"/>
      </c>
      <c r="N35" s="178" t="e">
        <f t="shared" si="8"/>
        <v>#VALUE!</v>
      </c>
      <c r="O35" s="178" t="e">
        <f>IF(Mannschaften!H$3=Mannschaften!K$166,N35,IF(Mannschaften!H$3=Mannschaften!K$167,N35,IF(Mannschaften!H$3=Mannschaften!K$168,N35,IF(Mannschaften!H$3=Mannschaften!K$169,N35,IF(Mannschaften!H$3=Mannschaften!K$170,N35,N35*-1)))))</f>
        <v>#VALUE!</v>
      </c>
    </row>
    <row r="36" spans="4:15" ht="12.75" hidden="1">
      <c r="D36" s="183">
        <f t="shared" si="2"/>
      </c>
      <c r="E36" s="183">
        <f t="shared" si="3"/>
      </c>
      <c r="F36" s="182">
        <f t="shared" si="4"/>
      </c>
      <c r="G36" s="182">
        <f t="shared" si="5"/>
      </c>
      <c r="H36" s="178">
        <f t="shared" si="6"/>
      </c>
      <c r="K36" s="178">
        <f>IF(D36="","",$K$28-F36)</f>
      </c>
      <c r="L36" s="178">
        <f t="shared" si="0"/>
      </c>
      <c r="M36" s="178">
        <f t="shared" si="1"/>
      </c>
      <c r="N36" s="178" t="e">
        <f>K36+(L36*100)+(M36*10000)</f>
        <v>#VALUE!</v>
      </c>
      <c r="O36" s="178" t="e">
        <f>IF(Mannschaften!H$3=Mannschaften!K$166,N36,IF(Mannschaften!H$3=Mannschaften!K$167,N36,IF(Mannschaften!H$3=Mannschaften!K$168,N36,IF(Mannschaften!H$3=Mannschaften!K$169,N36,IF(Mannschaften!H$3=Mannschaften!K$170,N36,N36*-1)))))</f>
        <v>#VALUE!</v>
      </c>
    </row>
    <row r="37" spans="4:15" ht="12.75" hidden="1">
      <c r="D37" s="183">
        <f t="shared" si="2"/>
      </c>
      <c r="E37" s="183">
        <f t="shared" si="3"/>
      </c>
      <c r="F37" s="182">
        <f t="shared" si="4"/>
      </c>
      <c r="G37" s="182">
        <f t="shared" si="5"/>
      </c>
      <c r="H37" s="178">
        <f t="shared" si="6"/>
      </c>
      <c r="K37" s="178">
        <f>IF(D37="","",$K$28-F37)</f>
      </c>
      <c r="L37" s="178">
        <f t="shared" si="0"/>
      </c>
      <c r="M37" s="178">
        <f t="shared" si="1"/>
      </c>
      <c r="N37" s="178" t="e">
        <f>K37+(L37*100)+(M37*10000)</f>
        <v>#VALUE!</v>
      </c>
      <c r="O37" s="178" t="e">
        <f>IF(Mannschaften!H$3=Mannschaften!K$166,N37,IF(Mannschaften!H$3=Mannschaften!K$167,N37,IF(Mannschaften!H$3=Mannschaften!K$168,N37,IF(Mannschaften!H$3=Mannschaften!K$169,N37,IF(Mannschaften!H$3=Mannschaften!K$170,N37,N37*-1)))))</f>
        <v>#VALUE!</v>
      </c>
    </row>
    <row r="38" spans="4:15" ht="12.75" hidden="1">
      <c r="D38" s="183">
        <f t="shared" si="2"/>
      </c>
      <c r="E38" s="183">
        <f t="shared" si="3"/>
      </c>
      <c r="F38" s="182">
        <f t="shared" si="4"/>
      </c>
      <c r="G38" s="182">
        <f t="shared" si="5"/>
      </c>
      <c r="H38" s="178">
        <f t="shared" si="6"/>
      </c>
      <c r="K38" s="178">
        <f>IF(D38="","",$K$28-F38)</f>
      </c>
      <c r="L38" s="178">
        <f t="shared" si="0"/>
      </c>
      <c r="M38" s="178">
        <f t="shared" si="1"/>
      </c>
      <c r="N38" s="178" t="e">
        <f>K38+(L38*100)+(M38*10000)</f>
        <v>#VALUE!</v>
      </c>
      <c r="O38" s="178" t="e">
        <f>IF(Mannschaften!H$3=Mannschaften!K$166,N38,IF(Mannschaften!H$3=Mannschaften!K$167,N38,IF(Mannschaften!H$3=Mannschaften!K$168,N38,IF(Mannschaften!H$3=Mannschaften!K$169,N38,IF(Mannschaften!H$3=Mannschaften!K$170,N38,N38*-1)))))</f>
        <v>#VALUE!</v>
      </c>
    </row>
    <row r="39" ht="12.75" hidden="1"/>
    <row r="40" spans="4:9" ht="12.75" hidden="1">
      <c r="D40" s="178">
        <f>DAY(Mannschaften!K4)</f>
        <v>22</v>
      </c>
      <c r="E40" s="178">
        <f>MONTH(Mannschaften!K4)</f>
        <v>2</v>
      </c>
      <c r="H40" s="178">
        <f>DAY(Mannschaften!M4)</f>
        <v>23</v>
      </c>
      <c r="I40" s="178">
        <f>MONTH(Mannschaften!M4)</f>
        <v>2</v>
      </c>
    </row>
    <row r="41" spans="4:11" ht="12.75" hidden="1">
      <c r="D41" s="182">
        <f aca="true" t="shared" si="9" ref="D41:D50">IF($D$40=F29,1,0)</f>
        <v>0</v>
      </c>
      <c r="E41" s="182">
        <f aca="true" t="shared" si="10" ref="E41:E50">IF($E$40=G29,1,0)</f>
        <v>0</v>
      </c>
      <c r="F41" s="182"/>
      <c r="G41" s="182">
        <f>D41+E41</f>
        <v>0</v>
      </c>
      <c r="H41" s="182">
        <f aca="true" t="shared" si="11" ref="H41:H50">IF($H$40=F29,1,0)</f>
        <v>0</v>
      </c>
      <c r="I41" s="182">
        <f aca="true" t="shared" si="12" ref="I41:I50">IF($I$40=G29,1,0)</f>
        <v>0</v>
      </c>
      <c r="K41" s="182">
        <f>H41+I41</f>
        <v>0</v>
      </c>
    </row>
    <row r="42" spans="4:11" ht="12.75" hidden="1">
      <c r="D42" s="182">
        <f t="shared" si="9"/>
        <v>0</v>
      </c>
      <c r="E42" s="182">
        <f t="shared" si="10"/>
        <v>0</v>
      </c>
      <c r="F42" s="182"/>
      <c r="G42" s="182">
        <f aca="true" t="shared" si="13" ref="G42:G50">D42+E42</f>
        <v>0</v>
      </c>
      <c r="H42" s="182">
        <f t="shared" si="11"/>
        <v>0</v>
      </c>
      <c r="I42" s="182">
        <f t="shared" si="12"/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3"/>
        <v>0</v>
      </c>
      <c r="H43" s="182">
        <f t="shared" si="11"/>
        <v>0</v>
      </c>
      <c r="I43" s="182">
        <f t="shared" si="12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3"/>
        <v>0</v>
      </c>
      <c r="H44" s="182">
        <f t="shared" si="11"/>
        <v>0</v>
      </c>
      <c r="I44" s="182">
        <f t="shared" si="12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3"/>
        <v>0</v>
      </c>
      <c r="H45" s="182">
        <f t="shared" si="11"/>
        <v>0</v>
      </c>
      <c r="I45" s="182">
        <f t="shared" si="12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3"/>
        <v>0</v>
      </c>
      <c r="H46" s="182">
        <f t="shared" si="11"/>
        <v>0</v>
      </c>
      <c r="I46" s="182">
        <f t="shared" si="12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3"/>
        <v>0</v>
      </c>
      <c r="H47" s="182">
        <f t="shared" si="11"/>
        <v>0</v>
      </c>
      <c r="I47" s="182">
        <f t="shared" si="12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3"/>
        <v>0</v>
      </c>
      <c r="H48" s="182">
        <f t="shared" si="11"/>
        <v>0</v>
      </c>
      <c r="I48" s="182">
        <f t="shared" si="12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3"/>
        <v>0</v>
      </c>
      <c r="H49" s="182">
        <f t="shared" si="11"/>
        <v>0</v>
      </c>
      <c r="I49" s="182">
        <f t="shared" si="12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3"/>
        <v>0</v>
      </c>
      <c r="H50" s="182">
        <f t="shared" si="11"/>
        <v>0</v>
      </c>
      <c r="I50" s="182">
        <f t="shared" si="12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  <v>4457</v>
      </c>
      <c r="H54" s="178">
        <f>IF(G54="",0,1)</f>
        <v>1</v>
      </c>
    </row>
    <row r="55" spans="7:8" ht="12.75" hidden="1">
      <c r="G55" s="182">
        <f aca="true" t="shared" si="15" ref="G55:G63">IF(G16="","",I$4-G16)</f>
        <v>4270</v>
      </c>
      <c r="H55" s="178">
        <f aca="true" t="shared" si="16" ref="H55:H63">IF(G55="",0,1)</f>
        <v>1</v>
      </c>
    </row>
    <row r="56" spans="7:8" ht="12.75" hidden="1">
      <c r="G56" s="182">
        <f t="shared" si="15"/>
        <v>4085</v>
      </c>
      <c r="H56" s="178">
        <f t="shared" si="16"/>
        <v>1</v>
      </c>
    </row>
    <row r="57" spans="7:8" ht="12.75" hidden="1">
      <c r="G57" s="182">
        <f t="shared" si="15"/>
        <v>4635</v>
      </c>
      <c r="H57" s="178">
        <f t="shared" si="16"/>
        <v>1</v>
      </c>
    </row>
    <row r="58" spans="7:8" ht="12.75" hidden="1">
      <c r="G58" s="182">
        <f t="shared" si="15"/>
        <v>5078</v>
      </c>
      <c r="H58" s="178">
        <f t="shared" si="16"/>
        <v>1</v>
      </c>
    </row>
    <row r="59" spans="7:8" ht="12.75" hidden="1">
      <c r="G59" s="182">
        <f t="shared" si="15"/>
        <v>5294</v>
      </c>
      <c r="H59" s="178">
        <f t="shared" si="16"/>
        <v>1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6</v>
      </c>
    </row>
    <row r="65" ht="12.75" hidden="1">
      <c r="G65" s="248">
        <f>IF(H64=0,"",SUM(G54:G63)/365/H64)</f>
        <v>12.702739726027398</v>
      </c>
    </row>
    <row r="66" ht="12.75" hidden="1"/>
  </sheetData>
  <sheetProtection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1" stopIfTrue="1">
      <formula>$G41=2</formula>
    </cfRule>
    <cfRule type="expression" priority="2" dxfId="1" stopIfTrue="1">
      <formula>$K41=2</formula>
    </cfRule>
    <cfRule type="expression" priority="3" dxfId="0" stopIfTrue="1">
      <formula>$O29&lt;0</formula>
    </cfRule>
  </conditionalFormatting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Z65"/>
  <sheetViews>
    <sheetView zoomScalePageLayoutView="0" workbookViewId="0" topLeftCell="A7">
      <selection activeCell="L22" sqref="L22:M22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198" customFormat="1" ht="33.75" customHeight="1">
      <c r="E1" s="811" t="s">
        <v>112</v>
      </c>
      <c r="F1" s="811"/>
      <c r="G1" s="811"/>
      <c r="H1" s="811"/>
      <c r="I1" s="811"/>
      <c r="J1" s="811"/>
      <c r="K1" s="811"/>
      <c r="L1" s="811"/>
      <c r="M1" s="811"/>
    </row>
    <row r="2" spans="5:13" s="198" customFormat="1" ht="21" customHeight="1">
      <c r="E2" s="1056" t="str">
        <f>IF(Mannschaften!D2="","",Mannschaften!D2)</f>
        <v>Ostdeutsche Meisterschaft der männl. Jugend 14 Halle 13/14</v>
      </c>
      <c r="F2" s="1056"/>
      <c r="G2" s="1056"/>
      <c r="H2" s="1056"/>
      <c r="I2" s="1056"/>
      <c r="J2" s="1056"/>
      <c r="K2" s="1056"/>
      <c r="L2" s="1056"/>
      <c r="M2" s="1056"/>
    </row>
    <row r="3" s="198" customFormat="1" ht="13.5" customHeight="1"/>
    <row r="4" spans="4:26" s="198" customFormat="1" ht="23.25" customHeight="1">
      <c r="D4" s="199"/>
      <c r="E4" s="777" t="str">
        <f>IF(Mannschaften!F4="","",Mannschaften!F4)</f>
        <v>Berlin</v>
      </c>
      <c r="F4" s="777"/>
      <c r="G4" s="777"/>
      <c r="H4" s="777"/>
      <c r="I4" s="207">
        <f>Mannschaften!K4</f>
        <v>41692</v>
      </c>
      <c r="J4" s="200" t="s">
        <v>92</v>
      </c>
      <c r="K4" s="207">
        <f>Mannschaften!M4</f>
        <v>41693</v>
      </c>
      <c r="M4" s="199"/>
      <c r="W4" s="199"/>
      <c r="X4" s="199"/>
      <c r="Y4" s="199"/>
      <c r="Z4" s="199"/>
    </row>
    <row r="5" spans="4:26" s="198" customFormat="1" ht="16.5" customHeight="1">
      <c r="D5" s="199"/>
      <c r="E5" s="189"/>
      <c r="F5" s="189"/>
      <c r="G5" s="189"/>
      <c r="H5" s="189"/>
      <c r="I5" s="201"/>
      <c r="J5" s="200"/>
      <c r="K5" s="201"/>
      <c r="M5" s="199"/>
      <c r="W5" s="199"/>
      <c r="X5" s="199"/>
      <c r="Y5" s="199"/>
      <c r="Z5" s="199"/>
    </row>
    <row r="6" spans="6:9" s="198" customFormat="1" ht="23.25" customHeight="1">
      <c r="F6" s="189"/>
      <c r="G6" s="189" t="str">
        <f>Mannschaften!A5</f>
        <v>Ausrichter:     </v>
      </c>
      <c r="H6" s="189"/>
      <c r="I6" s="189" t="str">
        <f>IF(Mannschaften!I5="","",Mannschaften!I5)</f>
        <v>Berliner Turnerschaft</v>
      </c>
    </row>
    <row r="7" spans="6:9" s="198" customFormat="1" ht="12.75" customHeight="1">
      <c r="F7" s="189"/>
      <c r="G7" s="189"/>
      <c r="H7" s="189"/>
      <c r="I7" s="189"/>
    </row>
    <row r="8" spans="1:15" s="198" customFormat="1" ht="21" customHeight="1">
      <c r="A8" s="1057" t="s">
        <v>114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  <c r="N8" s="1057"/>
      <c r="O8" s="1057"/>
    </row>
    <row r="9" spans="1:15" s="198" customFormat="1" ht="6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15" s="198" customFormat="1" ht="26.25">
      <c r="A10" s="189" t="s">
        <v>13</v>
      </c>
      <c r="B10" s="189"/>
      <c r="C10" s="189"/>
      <c r="D10" s="1055" t="str">
        <f>Mannschaften!F10</f>
        <v>Großenasper SV</v>
      </c>
      <c r="E10" s="1055"/>
      <c r="F10" s="1055"/>
      <c r="G10" s="1055"/>
      <c r="H10" s="1055"/>
      <c r="I10" s="189"/>
      <c r="J10" s="772"/>
      <c r="K10" s="772"/>
      <c r="L10" s="772"/>
      <c r="M10" s="772"/>
      <c r="N10" s="772"/>
      <c r="O10" s="772"/>
    </row>
    <row r="11" s="198" customFormat="1" ht="6" customHeight="1"/>
    <row r="12" spans="6:14" s="198" customFormat="1" ht="18">
      <c r="F12" s="189" t="s">
        <v>141</v>
      </c>
      <c r="G12" s="184" t="str">
        <f>Mannschaften!H3</f>
        <v>M U14</v>
      </c>
      <c r="H12" s="189"/>
      <c r="I12" s="189" t="s">
        <v>118</v>
      </c>
      <c r="L12" s="188" t="str">
        <f>IF(Mannschaften!N3="","",Mannschaften!N3)</f>
        <v>01.07.</v>
      </c>
      <c r="M12" s="189">
        <f>IF(Mannschaften!O3="","",Mannschaften!O3)</f>
        <v>1999</v>
      </c>
      <c r="N12" s="189"/>
    </row>
    <row r="13" s="198" customFormat="1" ht="13.5" thickBot="1"/>
    <row r="14" spans="1:15" s="198" customFormat="1" ht="24.75" customHeight="1" thickBot="1">
      <c r="A14" s="209"/>
      <c r="B14" s="208" t="s">
        <v>89</v>
      </c>
      <c r="C14" s="208" t="s">
        <v>18</v>
      </c>
      <c r="D14" s="1085" t="s">
        <v>20</v>
      </c>
      <c r="E14" s="1085"/>
      <c r="F14" s="1085"/>
      <c r="G14" s="1085" t="s">
        <v>115</v>
      </c>
      <c r="H14" s="1085"/>
      <c r="I14" s="1085" t="s">
        <v>140</v>
      </c>
      <c r="J14" s="1085"/>
      <c r="K14" s="1085"/>
      <c r="L14" s="1082" t="s">
        <v>116</v>
      </c>
      <c r="M14" s="1084"/>
      <c r="N14" s="1085" t="s">
        <v>117</v>
      </c>
      <c r="O14" s="1085"/>
    </row>
    <row r="15" spans="1:15" s="203" customFormat="1" ht="24.75" customHeight="1" thickBot="1">
      <c r="A15" s="193">
        <v>1</v>
      </c>
      <c r="B15" s="179"/>
      <c r="C15" s="179"/>
      <c r="D15" s="1072" t="s">
        <v>577</v>
      </c>
      <c r="E15" s="1073"/>
      <c r="F15" s="1074"/>
      <c r="G15" s="1075">
        <v>36571</v>
      </c>
      <c r="H15" s="1108"/>
      <c r="I15" s="1109" t="s">
        <v>585</v>
      </c>
      <c r="J15" s="1110"/>
      <c r="K15" s="1111"/>
      <c r="L15" s="1112" t="s">
        <v>592</v>
      </c>
      <c r="M15" s="1081"/>
      <c r="N15" s="1058"/>
      <c r="O15" s="1059"/>
    </row>
    <row r="16" spans="1:15" s="203" customFormat="1" ht="24.75" customHeight="1" thickBot="1">
      <c r="A16" s="194">
        <v>2</v>
      </c>
      <c r="B16" s="180"/>
      <c r="C16" s="180"/>
      <c r="D16" s="1060" t="s">
        <v>578</v>
      </c>
      <c r="E16" s="1061"/>
      <c r="F16" s="1062"/>
      <c r="G16" s="1063">
        <v>36616</v>
      </c>
      <c r="H16" s="1113"/>
      <c r="I16" s="1109" t="s">
        <v>587</v>
      </c>
      <c r="J16" s="1110"/>
      <c r="K16" s="1111"/>
      <c r="L16" s="1114" t="s">
        <v>593</v>
      </c>
      <c r="M16" s="1069"/>
      <c r="N16" s="1070"/>
      <c r="O16" s="1071"/>
    </row>
    <row r="17" spans="1:15" s="203" customFormat="1" ht="24.75" customHeight="1" thickBot="1">
      <c r="A17" s="194">
        <v>3</v>
      </c>
      <c r="B17" s="180"/>
      <c r="C17" s="180"/>
      <c r="D17" s="1060" t="s">
        <v>579</v>
      </c>
      <c r="E17" s="1061"/>
      <c r="F17" s="1062"/>
      <c r="G17" s="1063">
        <v>36544</v>
      </c>
      <c r="H17" s="1113"/>
      <c r="I17" s="1109" t="s">
        <v>588</v>
      </c>
      <c r="J17" s="1110"/>
      <c r="K17" s="1111"/>
      <c r="L17" s="1114" t="s">
        <v>592</v>
      </c>
      <c r="M17" s="1069"/>
      <c r="N17" s="1070"/>
      <c r="O17" s="1071"/>
    </row>
    <row r="18" spans="1:15" s="203" customFormat="1" ht="24.75" customHeight="1" thickBot="1">
      <c r="A18" s="194">
        <v>4</v>
      </c>
      <c r="B18" s="180"/>
      <c r="C18" s="180"/>
      <c r="D18" s="1060" t="s">
        <v>580</v>
      </c>
      <c r="E18" s="1061"/>
      <c r="F18" s="1062"/>
      <c r="G18" s="1063">
        <v>36440</v>
      </c>
      <c r="H18" s="1113"/>
      <c r="I18" s="1109" t="s">
        <v>589</v>
      </c>
      <c r="J18" s="1110"/>
      <c r="K18" s="1111"/>
      <c r="L18" s="1114" t="s">
        <v>594</v>
      </c>
      <c r="M18" s="1069"/>
      <c r="N18" s="1070"/>
      <c r="O18" s="1071"/>
    </row>
    <row r="19" spans="1:15" s="203" customFormat="1" ht="24.75" customHeight="1" thickBot="1">
      <c r="A19" s="194">
        <v>5</v>
      </c>
      <c r="B19" s="180"/>
      <c r="C19" s="180"/>
      <c r="D19" s="1060" t="s">
        <v>581</v>
      </c>
      <c r="E19" s="1061"/>
      <c r="F19" s="1062"/>
      <c r="G19" s="1063">
        <v>37379</v>
      </c>
      <c r="H19" s="1113"/>
      <c r="I19" s="1109" t="s">
        <v>590</v>
      </c>
      <c r="J19" s="1110"/>
      <c r="K19" s="1111"/>
      <c r="L19" s="1114" t="s">
        <v>595</v>
      </c>
      <c r="M19" s="1069"/>
      <c r="N19" s="1070"/>
      <c r="O19" s="1071"/>
    </row>
    <row r="20" spans="1:15" s="203" customFormat="1" ht="24.75" customHeight="1" thickBot="1">
      <c r="A20" s="194">
        <v>6</v>
      </c>
      <c r="B20" s="180"/>
      <c r="C20" s="180"/>
      <c r="D20" s="1060" t="s">
        <v>582</v>
      </c>
      <c r="E20" s="1061"/>
      <c r="F20" s="1062"/>
      <c r="G20" s="1063">
        <v>37618</v>
      </c>
      <c r="H20" s="1113"/>
      <c r="I20" s="1109" t="s">
        <v>586</v>
      </c>
      <c r="J20" s="1110"/>
      <c r="K20" s="1111"/>
      <c r="L20" s="1114" t="s">
        <v>592</v>
      </c>
      <c r="M20" s="1069"/>
      <c r="N20" s="1070"/>
      <c r="O20" s="1071"/>
    </row>
    <row r="21" spans="1:15" s="203" customFormat="1" ht="24.75" customHeight="1">
      <c r="A21" s="194">
        <v>7</v>
      </c>
      <c r="B21" s="180"/>
      <c r="C21" s="180"/>
      <c r="D21" s="1060" t="s">
        <v>583</v>
      </c>
      <c r="E21" s="1061"/>
      <c r="F21" s="1062"/>
      <c r="G21" s="1063">
        <v>36988</v>
      </c>
      <c r="H21" s="1113"/>
      <c r="I21" s="1109" t="s">
        <v>591</v>
      </c>
      <c r="J21" s="1110"/>
      <c r="K21" s="1111"/>
      <c r="L21" s="1114" t="s">
        <v>592</v>
      </c>
      <c r="M21" s="1069"/>
      <c r="N21" s="1070"/>
      <c r="O21" s="1071"/>
    </row>
    <row r="22" spans="1:15" s="203" customFormat="1" ht="24.75" customHeight="1">
      <c r="A22" s="194">
        <v>8</v>
      </c>
      <c r="B22" s="180"/>
      <c r="C22" s="180"/>
      <c r="D22" s="1060"/>
      <c r="E22" s="1061"/>
      <c r="F22" s="1062"/>
      <c r="G22" s="1063"/>
      <c r="H22" s="1113"/>
      <c r="I22" s="1065"/>
      <c r="J22" s="1066"/>
      <c r="K22" s="1067"/>
      <c r="L22" s="1114"/>
      <c r="M22" s="1069"/>
      <c r="N22" s="1070"/>
      <c r="O22" s="1071"/>
    </row>
    <row r="23" spans="1:15" s="203" customFormat="1" ht="24.75" customHeight="1">
      <c r="A23" s="194">
        <v>9</v>
      </c>
      <c r="B23" s="180"/>
      <c r="C23" s="180"/>
      <c r="D23" s="1060"/>
      <c r="E23" s="1061"/>
      <c r="F23" s="1062"/>
      <c r="G23" s="1063"/>
      <c r="H23" s="1113"/>
      <c r="I23" s="1065"/>
      <c r="J23" s="1066"/>
      <c r="K23" s="1067"/>
      <c r="L23" s="1114"/>
      <c r="M23" s="1069"/>
      <c r="N23" s="1070"/>
      <c r="O23" s="1071"/>
    </row>
    <row r="24" spans="1:15" s="203" customFormat="1" ht="24.75" customHeight="1" thickBot="1">
      <c r="A24" s="195">
        <v>10</v>
      </c>
      <c r="B24" s="181"/>
      <c r="C24" s="181"/>
      <c r="D24" s="1086"/>
      <c r="E24" s="1087"/>
      <c r="F24" s="1088"/>
      <c r="G24" s="1089"/>
      <c r="H24" s="1115"/>
      <c r="I24" s="1091"/>
      <c r="J24" s="1092"/>
      <c r="K24" s="1093"/>
      <c r="L24" s="1116"/>
      <c r="M24" s="1095"/>
      <c r="N24" s="1096"/>
      <c r="O24" s="1097"/>
    </row>
    <row r="25" spans="1:15" s="203" customFormat="1" ht="24.75" customHeight="1">
      <c r="A25" s="196" t="s">
        <v>39</v>
      </c>
      <c r="B25" s="179"/>
      <c r="C25" s="179"/>
      <c r="D25" s="1072" t="s">
        <v>584</v>
      </c>
      <c r="E25" s="1073"/>
      <c r="F25" s="1074"/>
      <c r="G25" s="1075"/>
      <c r="H25" s="1076"/>
      <c r="I25" s="1103"/>
      <c r="J25" s="1104"/>
      <c r="K25" s="1105"/>
      <c r="L25" s="1106"/>
      <c r="M25" s="1107"/>
      <c r="N25" s="1058"/>
      <c r="O25" s="1059"/>
    </row>
    <row r="26" spans="1:15" s="203" customFormat="1" ht="24.75" customHeight="1" thickBot="1">
      <c r="A26" s="197" t="s">
        <v>40</v>
      </c>
      <c r="B26" s="181"/>
      <c r="C26" s="181"/>
      <c r="D26" s="1086"/>
      <c r="E26" s="1087"/>
      <c r="F26" s="1088"/>
      <c r="G26" s="1089"/>
      <c r="H26" s="1090"/>
      <c r="I26" s="1098"/>
      <c r="J26" s="1099"/>
      <c r="K26" s="1100"/>
      <c r="L26" s="1101"/>
      <c r="M26" s="1102"/>
      <c r="N26" s="1096"/>
      <c r="O26" s="1097"/>
    </row>
    <row r="27" spans="1:15" s="203" customFormat="1" ht="24.75" customHeight="1" thickBot="1">
      <c r="A27" s="446" t="s">
        <v>231</v>
      </c>
      <c r="B27" s="447"/>
      <c r="C27" s="447"/>
      <c r="D27" s="447"/>
      <c r="E27" s="447"/>
      <c r="F27" s="448"/>
      <c r="G27" s="449">
        <f>G65</f>
        <v>13.185127201565559</v>
      </c>
      <c r="H27" s="249" t="s">
        <v>232</v>
      </c>
      <c r="I27" s="447"/>
      <c r="J27" s="447"/>
      <c r="K27" s="447"/>
      <c r="L27" s="447"/>
      <c r="M27" s="447"/>
      <c r="N27" s="447"/>
      <c r="O27" s="448"/>
    </row>
    <row r="28" spans="11:13" ht="12.75" hidden="1">
      <c r="K28" s="182">
        <f>IF(L12="31.12.",31,IF(L12="01.01.",1,IF(L12="01.07.",1,30)))</f>
        <v>1</v>
      </c>
      <c r="L28" s="182">
        <f>IF(L12="31.12.",12,IF(L12="01.01.",1,IF(L12="01.07.",7,6)))</f>
        <v>7</v>
      </c>
      <c r="M28" s="182">
        <f>M12</f>
        <v>1999</v>
      </c>
    </row>
    <row r="29" spans="4:15" ht="12.75" hidden="1">
      <c r="D29" s="183">
        <f>IF(G15="","",G15)</f>
        <v>36571</v>
      </c>
      <c r="E29" s="183">
        <f>IF(D29="","",D29+1)</f>
        <v>36572</v>
      </c>
      <c r="F29" s="182">
        <f>IF(D29="","",DAY(D29))</f>
        <v>15</v>
      </c>
      <c r="G29" s="182">
        <f>IF(D29="","",MONTH(D29))</f>
        <v>2</v>
      </c>
      <c r="H29" s="178">
        <f>IF(D29="","",YEAR(D29))</f>
        <v>2000</v>
      </c>
      <c r="K29" s="178">
        <f>IF(D29="","",$K$28-F29)</f>
        <v>-14</v>
      </c>
      <c r="L29" s="178">
        <f>IF(D29="","",$L$28-G29)</f>
        <v>5</v>
      </c>
      <c r="M29" s="178">
        <f>IF(D29="","",$M$28-H29)</f>
        <v>-1</v>
      </c>
      <c r="N29" s="178">
        <f>K29+(L29*100)+(M29*10000)</f>
        <v>-9514</v>
      </c>
      <c r="O29" s="178">
        <f>IF(Mannschaften!H$3=Mannschaften!K$166,N29,IF(Mannschaften!H$3=Mannschaften!K$167,N29,IF(Mannschaften!H$3=Mannschaften!K$168,N29,IF(Mannschaften!H$3=Mannschaften!K$169,N29,IF(Mannschaften!H$3=Mannschaften!K$170,N29,N29*-1)))))</f>
        <v>9514</v>
      </c>
    </row>
    <row r="30" spans="4:15" ht="12.75" hidden="1">
      <c r="D30" s="183">
        <f aca="true" t="shared" si="0" ref="D30:D38">IF(G16="","",G16)</f>
        <v>36616</v>
      </c>
      <c r="E30" s="183">
        <f aca="true" t="shared" si="1" ref="E30:E38">IF(D30="","",D30+1)</f>
        <v>36617</v>
      </c>
      <c r="F30" s="182">
        <f aca="true" t="shared" si="2" ref="F30:F38">IF(D30="","",DAY(D30))</f>
        <v>31</v>
      </c>
      <c r="G30" s="182">
        <f aca="true" t="shared" si="3" ref="G30:G38">IF(D30="","",MONTH(D30))</f>
        <v>3</v>
      </c>
      <c r="H30" s="178">
        <f aca="true" t="shared" si="4" ref="H30:H38">IF(D30="","",YEAR(D30))</f>
        <v>2000</v>
      </c>
      <c r="K30" s="178">
        <f aca="true" t="shared" si="5" ref="K30:K35">IF(D30="","",$K$28-F30)</f>
        <v>-30</v>
      </c>
      <c r="L30" s="178">
        <f aca="true" t="shared" si="6" ref="L30:L35">IF(D30="","",$L$28-G30)</f>
        <v>4</v>
      </c>
      <c r="M30" s="178">
        <f aca="true" t="shared" si="7" ref="M30:M35">IF(D30="","",$M$28-H30)</f>
        <v>-1</v>
      </c>
      <c r="N30" s="178">
        <f aca="true" t="shared" si="8" ref="N30:N35">K30+(L30*100)+(M30*10000)</f>
        <v>-9630</v>
      </c>
      <c r="O30" s="178">
        <f>IF(Mannschaften!H$3=Mannschaften!K$166,N30,IF(Mannschaften!H$3=Mannschaften!K$167,N30,IF(Mannschaften!H$3=Mannschaften!K$168,N30,IF(Mannschaften!H$3=Mannschaften!K$169,N30,IF(Mannschaften!H$3=Mannschaften!K$170,N30,N30*-1)))))</f>
        <v>9630</v>
      </c>
    </row>
    <row r="31" spans="4:15" ht="12.75" hidden="1">
      <c r="D31" s="183">
        <f t="shared" si="0"/>
        <v>36544</v>
      </c>
      <c r="E31" s="183">
        <f t="shared" si="1"/>
        <v>36545</v>
      </c>
      <c r="F31" s="182">
        <f t="shared" si="2"/>
        <v>19</v>
      </c>
      <c r="G31" s="182">
        <f t="shared" si="3"/>
        <v>1</v>
      </c>
      <c r="H31" s="178">
        <f t="shared" si="4"/>
        <v>2000</v>
      </c>
      <c r="K31" s="178">
        <f t="shared" si="5"/>
        <v>-18</v>
      </c>
      <c r="L31" s="178">
        <f t="shared" si="6"/>
        <v>6</v>
      </c>
      <c r="M31" s="178">
        <f t="shared" si="7"/>
        <v>-1</v>
      </c>
      <c r="N31" s="178">
        <f t="shared" si="8"/>
        <v>-9418</v>
      </c>
      <c r="O31" s="178">
        <f>IF(Mannschaften!H$3=Mannschaften!K$166,N31,IF(Mannschaften!H$3=Mannschaften!K$167,N31,IF(Mannschaften!H$3=Mannschaften!K$168,N31,IF(Mannschaften!H$3=Mannschaften!K$169,N31,IF(Mannschaften!H$3=Mannschaften!K$170,N31,N31*-1)))))</f>
        <v>9418</v>
      </c>
    </row>
    <row r="32" spans="4:15" ht="12.75" hidden="1">
      <c r="D32" s="183">
        <f t="shared" si="0"/>
        <v>36440</v>
      </c>
      <c r="E32" s="183">
        <f t="shared" si="1"/>
        <v>36441</v>
      </c>
      <c r="F32" s="182">
        <f t="shared" si="2"/>
        <v>7</v>
      </c>
      <c r="G32" s="182">
        <f t="shared" si="3"/>
        <v>10</v>
      </c>
      <c r="H32" s="178">
        <f t="shared" si="4"/>
        <v>1999</v>
      </c>
      <c r="K32" s="178">
        <f t="shared" si="5"/>
        <v>-6</v>
      </c>
      <c r="L32" s="178">
        <f t="shared" si="6"/>
        <v>-3</v>
      </c>
      <c r="M32" s="178">
        <f t="shared" si="7"/>
        <v>0</v>
      </c>
      <c r="N32" s="178">
        <f t="shared" si="8"/>
        <v>-306</v>
      </c>
      <c r="O32" s="178">
        <f>IF(Mannschaften!H$3=Mannschaften!K$166,N32,IF(Mannschaften!H$3=Mannschaften!K$167,N32,IF(Mannschaften!H$3=Mannschaften!K$168,N32,IF(Mannschaften!H$3=Mannschaften!K$169,N32,IF(Mannschaften!H$3=Mannschaften!K$170,N32,N32*-1)))))</f>
        <v>306</v>
      </c>
    </row>
    <row r="33" spans="4:15" ht="12.75" hidden="1">
      <c r="D33" s="183">
        <f t="shared" si="0"/>
        <v>37379</v>
      </c>
      <c r="E33" s="183">
        <f t="shared" si="1"/>
        <v>37380</v>
      </c>
      <c r="F33" s="182">
        <f t="shared" si="2"/>
        <v>3</v>
      </c>
      <c r="G33" s="182">
        <f t="shared" si="3"/>
        <v>5</v>
      </c>
      <c r="H33" s="178">
        <f t="shared" si="4"/>
        <v>2002</v>
      </c>
      <c r="K33" s="178">
        <f t="shared" si="5"/>
        <v>-2</v>
      </c>
      <c r="L33" s="178">
        <f t="shared" si="6"/>
        <v>2</v>
      </c>
      <c r="M33" s="178">
        <f t="shared" si="7"/>
        <v>-3</v>
      </c>
      <c r="N33" s="178">
        <f t="shared" si="8"/>
        <v>-29802</v>
      </c>
      <c r="O33" s="178">
        <f>IF(Mannschaften!H$3=Mannschaften!K$166,N33,IF(Mannschaften!H$3=Mannschaften!K$167,N33,IF(Mannschaften!H$3=Mannschaften!K$168,N33,IF(Mannschaften!H$3=Mannschaften!K$169,N33,IF(Mannschaften!H$3=Mannschaften!K$170,N33,N33*-1)))))</f>
        <v>29802</v>
      </c>
    </row>
    <row r="34" spans="4:15" ht="12.75" hidden="1">
      <c r="D34" s="183">
        <f>IF(G20="","",G20)</f>
        <v>37618</v>
      </c>
      <c r="E34" s="183">
        <f t="shared" si="1"/>
        <v>37619</v>
      </c>
      <c r="F34" s="182">
        <f t="shared" si="2"/>
        <v>28</v>
      </c>
      <c r="G34" s="182">
        <f t="shared" si="3"/>
        <v>12</v>
      </c>
      <c r="H34" s="178">
        <f t="shared" si="4"/>
        <v>2002</v>
      </c>
      <c r="K34" s="178">
        <f t="shared" si="5"/>
        <v>-27</v>
      </c>
      <c r="L34" s="178">
        <f t="shared" si="6"/>
        <v>-5</v>
      </c>
      <c r="M34" s="178">
        <f t="shared" si="7"/>
        <v>-3</v>
      </c>
      <c r="N34" s="178">
        <f t="shared" si="8"/>
        <v>-30527</v>
      </c>
      <c r="O34" s="178">
        <f>IF(Mannschaften!H$3=Mannschaften!K$166,N34,IF(Mannschaften!H$3=Mannschaften!K$167,N34,IF(Mannschaften!H$3=Mannschaften!K$168,N34,IF(Mannschaften!H$3=Mannschaften!K$169,N34,IF(Mannschaften!H$3=Mannschaften!K$170,N34,N34*-1)))))</f>
        <v>30527</v>
      </c>
    </row>
    <row r="35" spans="4:15" ht="12.75" hidden="1">
      <c r="D35" s="183">
        <f>IF(G21="","",G21)</f>
        <v>36988</v>
      </c>
      <c r="E35" s="183">
        <f t="shared" si="1"/>
        <v>36989</v>
      </c>
      <c r="F35" s="182">
        <f t="shared" si="2"/>
        <v>7</v>
      </c>
      <c r="G35" s="182">
        <f t="shared" si="3"/>
        <v>4</v>
      </c>
      <c r="H35" s="178">
        <f t="shared" si="4"/>
        <v>2001</v>
      </c>
      <c r="K35" s="178">
        <f t="shared" si="5"/>
        <v>-6</v>
      </c>
      <c r="L35" s="178">
        <f t="shared" si="6"/>
        <v>3</v>
      </c>
      <c r="M35" s="178">
        <f t="shared" si="7"/>
        <v>-2</v>
      </c>
      <c r="N35" s="178">
        <f t="shared" si="8"/>
        <v>-19706</v>
      </c>
      <c r="O35" s="178">
        <f>IF(Mannschaften!H$3=Mannschaften!K$166,N35,IF(Mannschaften!H$3=Mannschaften!K$167,N35,IF(Mannschaften!H$3=Mannschaften!K$168,N35,IF(Mannschaften!H$3=Mannschaften!K$169,N35,IF(Mannschaften!H$3=Mannschaften!K$170,N35,N35*-1)))))</f>
        <v>19706</v>
      </c>
    </row>
    <row r="36" spans="4:15" ht="12.75" hidden="1">
      <c r="D36" s="183">
        <f t="shared" si="0"/>
      </c>
      <c r="E36" s="183">
        <f t="shared" si="1"/>
      </c>
      <c r="F36" s="182">
        <f t="shared" si="2"/>
      </c>
      <c r="G36" s="182">
        <f t="shared" si="3"/>
      </c>
      <c r="H36" s="178">
        <f t="shared" si="4"/>
      </c>
      <c r="K36" s="178">
        <f>IF(D36="","",$K$28-F36)</f>
      </c>
      <c r="L36" s="178">
        <f>IF(D36="","",$L$28-G36)</f>
      </c>
      <c r="M36" s="178">
        <f>IF(D36="","",$M$28-H36)</f>
      </c>
      <c r="N36" s="178" t="e">
        <f>K36+(L36*100)+(M36*10000)</f>
        <v>#VALUE!</v>
      </c>
      <c r="O36" s="178" t="e">
        <f>IF(Mannschaften!H$3=Mannschaften!K$166,N36,IF(Mannschaften!H$3=Mannschaften!K$167,N36,IF(Mannschaften!H$3=Mannschaften!K$168,N36,IF(Mannschaften!H$3=Mannschaften!K$169,N36,IF(Mannschaften!H$3=Mannschaften!K$170,N36,N36*-1)))))</f>
        <v>#VALUE!</v>
      </c>
    </row>
    <row r="37" spans="4:15" ht="12.75" hidden="1">
      <c r="D37" s="183">
        <f t="shared" si="0"/>
      </c>
      <c r="E37" s="183">
        <f t="shared" si="1"/>
      </c>
      <c r="F37" s="182">
        <f t="shared" si="2"/>
      </c>
      <c r="G37" s="182">
        <f t="shared" si="3"/>
      </c>
      <c r="H37" s="178">
        <f t="shared" si="4"/>
      </c>
      <c r="K37" s="178">
        <f>IF(D37="","",$K$28-F37)</f>
      </c>
      <c r="L37" s="178">
        <f>IF(D37="","",$L$28-G37)</f>
      </c>
      <c r="M37" s="178">
        <f>IF(D37="","",$M$28-H37)</f>
      </c>
      <c r="N37" s="178" t="e">
        <f>K37+(L37*100)+(M37*10000)</f>
        <v>#VALUE!</v>
      </c>
      <c r="O37" s="178" t="e">
        <f>IF(Mannschaften!H$3=Mannschaften!K$166,N37,IF(Mannschaften!H$3=Mannschaften!K$167,N37,IF(Mannschaften!H$3=Mannschaften!K$168,N37,IF(Mannschaften!H$3=Mannschaften!K$169,N37,IF(Mannschaften!H$3=Mannschaften!K$170,N37,N37*-1)))))</f>
        <v>#VALUE!</v>
      </c>
    </row>
    <row r="38" spans="4:15" ht="12.75" hidden="1">
      <c r="D38" s="183">
        <f t="shared" si="0"/>
      </c>
      <c r="E38" s="183">
        <f t="shared" si="1"/>
      </c>
      <c r="F38" s="182">
        <f t="shared" si="2"/>
      </c>
      <c r="G38" s="182">
        <f t="shared" si="3"/>
      </c>
      <c r="H38" s="178">
        <f t="shared" si="4"/>
      </c>
      <c r="K38" s="178">
        <f>IF(D38="","",$K$28-F38)</f>
      </c>
      <c r="L38" s="178">
        <f>IF(D38="","",$L$28-G38)</f>
      </c>
      <c r="M38" s="178">
        <f>IF(D38="","",$M$28-H38)</f>
      </c>
      <c r="N38" s="178" t="e">
        <f>K38+(L38*100)+(M38*10000)</f>
        <v>#VALUE!</v>
      </c>
      <c r="O38" s="178" t="e">
        <f>IF(Mannschaften!H$3=Mannschaften!K$166,N38,IF(Mannschaften!H$3=Mannschaften!K$167,N38,IF(Mannschaften!H$3=Mannschaften!K$168,N38,IF(Mannschaften!H$3=Mannschaften!K$169,N38,IF(Mannschaften!H$3=Mannschaften!K$170,N38,N38*-1)))))</f>
        <v>#VALUE!</v>
      </c>
    </row>
    <row r="39" ht="12.75" hidden="1"/>
    <row r="40" spans="4:9" ht="12.75" hidden="1">
      <c r="D40" s="178">
        <f>DAY(Mannschaften!K4)</f>
        <v>22</v>
      </c>
      <c r="E40" s="178">
        <f>MONTH(Mannschaften!K4)</f>
        <v>2</v>
      </c>
      <c r="H40" s="178">
        <f>DAY(Mannschaften!M4)</f>
        <v>23</v>
      </c>
      <c r="I40" s="178">
        <f>MONTH(Mannschaften!M4)</f>
        <v>2</v>
      </c>
    </row>
    <row r="41" spans="4:11" ht="12.75" hidden="1">
      <c r="D41" s="182">
        <f>IF($D$40=F29,1,0)</f>
        <v>0</v>
      </c>
      <c r="E41" s="182">
        <f>IF($E$40=G29,1,0)</f>
        <v>1</v>
      </c>
      <c r="F41" s="182"/>
      <c r="G41" s="182">
        <f>D41+E41</f>
        <v>1</v>
      </c>
      <c r="H41" s="182">
        <f>IF($H$40=F29,1,0)</f>
        <v>0</v>
      </c>
      <c r="I41" s="182">
        <f>IF($I$40=G29,1,0)</f>
        <v>1</v>
      </c>
      <c r="K41" s="182">
        <f>H41+I41</f>
        <v>1</v>
      </c>
    </row>
    <row r="42" spans="4:11" ht="12.75" hidden="1">
      <c r="D42" s="182">
        <f aca="true" t="shared" si="9" ref="D42:D50">IF($D$40=F30,1,0)</f>
        <v>0</v>
      </c>
      <c r="E42" s="182">
        <f aca="true" t="shared" si="10" ref="E42:E50">IF($E$40=G30,1,0)</f>
        <v>0</v>
      </c>
      <c r="F42" s="182"/>
      <c r="G42" s="182">
        <f aca="true" t="shared" si="11" ref="G42:G50">D42+E42</f>
        <v>0</v>
      </c>
      <c r="H42" s="182">
        <f aca="true" t="shared" si="12" ref="H42:H50">IF($H$40=F30,1,0)</f>
        <v>0</v>
      </c>
      <c r="I42" s="182">
        <f aca="true" t="shared" si="13" ref="I42:I50">IF($I$40=G30,1,0)</f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1"/>
        <v>0</v>
      </c>
      <c r="H43" s="182">
        <f t="shared" si="12"/>
        <v>0</v>
      </c>
      <c r="I43" s="182">
        <f t="shared" si="13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1"/>
        <v>0</v>
      </c>
      <c r="H44" s="182">
        <f t="shared" si="12"/>
        <v>0</v>
      </c>
      <c r="I44" s="182">
        <f t="shared" si="13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1"/>
        <v>0</v>
      </c>
      <c r="H45" s="182">
        <f t="shared" si="12"/>
        <v>0</v>
      </c>
      <c r="I45" s="182">
        <f t="shared" si="13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1"/>
        <v>0</v>
      </c>
      <c r="H46" s="182">
        <f t="shared" si="12"/>
        <v>0</v>
      </c>
      <c r="I46" s="182">
        <f t="shared" si="13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1"/>
        <v>0</v>
      </c>
      <c r="H47" s="182">
        <f t="shared" si="12"/>
        <v>0</v>
      </c>
      <c r="I47" s="182">
        <f t="shared" si="13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1"/>
        <v>0</v>
      </c>
      <c r="H48" s="182">
        <f t="shared" si="12"/>
        <v>0</v>
      </c>
      <c r="I48" s="182">
        <f t="shared" si="13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1"/>
        <v>0</v>
      </c>
      <c r="H49" s="182">
        <f t="shared" si="12"/>
        <v>0</v>
      </c>
      <c r="I49" s="182">
        <f t="shared" si="13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1"/>
        <v>0</v>
      </c>
      <c r="H50" s="182">
        <f t="shared" si="12"/>
        <v>0</v>
      </c>
      <c r="I50" s="182">
        <f t="shared" si="13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  <v>5121</v>
      </c>
      <c r="H54" s="178">
        <f>IF(G54="",0,1)</f>
        <v>1</v>
      </c>
    </row>
    <row r="55" spans="7:8" ht="12.75" hidden="1">
      <c r="G55" s="182">
        <f aca="true" t="shared" si="15" ref="G55:G63">IF(G16="","",I$4-G16)</f>
        <v>5076</v>
      </c>
      <c r="H55" s="178">
        <f aca="true" t="shared" si="16" ref="H55:H63">IF(G55="",0,1)</f>
        <v>1</v>
      </c>
    </row>
    <row r="56" spans="7:8" ht="12.75" hidden="1">
      <c r="G56" s="182">
        <f t="shared" si="15"/>
        <v>5148</v>
      </c>
      <c r="H56" s="178">
        <f t="shared" si="16"/>
        <v>1</v>
      </c>
    </row>
    <row r="57" spans="7:8" ht="12.75" hidden="1">
      <c r="G57" s="182">
        <f t="shared" si="15"/>
        <v>5252</v>
      </c>
      <c r="H57" s="178">
        <f t="shared" si="16"/>
        <v>1</v>
      </c>
    </row>
    <row r="58" spans="7:8" ht="12.75" hidden="1">
      <c r="G58" s="182">
        <f t="shared" si="15"/>
        <v>4313</v>
      </c>
      <c r="H58" s="178">
        <f t="shared" si="16"/>
        <v>1</v>
      </c>
    </row>
    <row r="59" spans="7:8" ht="12.75" hidden="1">
      <c r="G59" s="182">
        <f t="shared" si="15"/>
        <v>4074</v>
      </c>
      <c r="H59" s="178">
        <f t="shared" si="16"/>
        <v>1</v>
      </c>
    </row>
    <row r="60" spans="7:8" ht="12.75" hidden="1">
      <c r="G60" s="182">
        <f t="shared" si="15"/>
        <v>4704</v>
      </c>
      <c r="H60" s="178">
        <f t="shared" si="16"/>
        <v>1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7</v>
      </c>
    </row>
    <row r="65" ht="12.75" hidden="1">
      <c r="G65" s="248">
        <f>IF(H64=0,"",SUM(G54:G63)/365/H64)</f>
        <v>13.185127201565559</v>
      </c>
    </row>
    <row r="66" ht="12.75" hidden="1"/>
  </sheetData>
  <sheetProtection sheet="1" objects="1" scenarios="1" selectLockedCells="1"/>
  <mergeCells count="71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D23:F23"/>
    <mergeCell ref="G23:H23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5:O15"/>
    <mergeCell ref="D16:F16"/>
    <mergeCell ref="G16:H16"/>
    <mergeCell ref="I16:K16"/>
    <mergeCell ref="L16:M16"/>
    <mergeCell ref="N17:O17"/>
    <mergeCell ref="D14:F14"/>
    <mergeCell ref="G14:H14"/>
    <mergeCell ref="I14:K14"/>
    <mergeCell ref="N14:O14"/>
    <mergeCell ref="L14:M14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1" stopIfTrue="1">
      <formula>$G41=2</formula>
    </cfRule>
    <cfRule type="expression" priority="2" dxfId="1" stopIfTrue="1">
      <formula>$K41=2</formula>
    </cfRule>
    <cfRule type="expression" priority="3" dxfId="0" stopIfTrue="1">
      <formula>$O29&lt;0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Z65"/>
  <sheetViews>
    <sheetView zoomScalePageLayoutView="0" workbookViewId="0" topLeftCell="A7">
      <selection activeCell="L22" sqref="L22:M22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11" t="s">
        <v>112</v>
      </c>
      <c r="F1" s="811"/>
      <c r="G1" s="811"/>
      <c r="H1" s="811"/>
      <c r="I1" s="811"/>
      <c r="J1" s="811"/>
      <c r="K1" s="811"/>
      <c r="L1" s="811"/>
      <c r="M1" s="811"/>
    </row>
    <row r="2" spans="5:13" s="203" customFormat="1" ht="21" customHeight="1">
      <c r="E2" s="1056" t="str">
        <f>IF(Mannschaften!D2="","",Mannschaften!D2)</f>
        <v>Ostdeutsche Meisterschaft der männl. Jugend 14 Halle 13/14</v>
      </c>
      <c r="F2" s="1056"/>
      <c r="G2" s="1056"/>
      <c r="H2" s="1056"/>
      <c r="I2" s="1056"/>
      <c r="J2" s="1056"/>
      <c r="K2" s="1056"/>
      <c r="L2" s="1056"/>
      <c r="M2" s="1056"/>
    </row>
    <row r="3" s="203" customFormat="1" ht="13.5" customHeight="1"/>
    <row r="4" spans="4:26" s="203" customFormat="1" ht="23.25" customHeight="1">
      <c r="D4" s="204"/>
      <c r="E4" s="777" t="str">
        <f>IF(Mannschaften!F4="","",Mannschaften!F4)</f>
        <v>Berlin</v>
      </c>
      <c r="F4" s="777"/>
      <c r="G4" s="777"/>
      <c r="H4" s="777"/>
      <c r="I4" s="185">
        <f>Mannschaften!K4</f>
        <v>41692</v>
      </c>
      <c r="J4" s="205" t="s">
        <v>92</v>
      </c>
      <c r="K4" s="185">
        <f>Mannschaften!M4</f>
        <v>41693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Berliner Turnerschaft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1057" t="s">
        <v>114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  <c r="N8" s="1057"/>
      <c r="O8" s="1057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1055" t="str">
        <f>Mannschaften!I10</f>
        <v>SG Bademeusel</v>
      </c>
      <c r="E10" s="1055"/>
      <c r="F10" s="1055"/>
      <c r="G10" s="1055"/>
      <c r="H10" s="1055"/>
      <c r="I10" s="186"/>
      <c r="J10" s="777"/>
      <c r="K10" s="777"/>
      <c r="L10" s="777"/>
      <c r="M10" s="777"/>
      <c r="N10" s="777"/>
      <c r="O10" s="777"/>
    </row>
    <row r="11" s="203" customFormat="1" ht="6" customHeight="1"/>
    <row r="12" spans="6:14" s="203" customFormat="1" ht="18">
      <c r="F12" s="186" t="s">
        <v>141</v>
      </c>
      <c r="G12" s="184" t="str">
        <f>Mannschaften!H3</f>
        <v>M U14</v>
      </c>
      <c r="H12" s="186"/>
      <c r="I12" s="186" t="s">
        <v>118</v>
      </c>
      <c r="L12" s="188" t="str">
        <f>IF(Mannschaften!N3="","",Mannschaften!N3)</f>
        <v>01.07.</v>
      </c>
      <c r="M12" s="189">
        <f>IF(Mannschaften!O3="","",Mannschaften!O3)</f>
        <v>1999</v>
      </c>
      <c r="N12" s="186"/>
    </row>
    <row r="13" s="203" customFormat="1" ht="13.5" thickBot="1"/>
    <row r="14" spans="1:15" s="203" customFormat="1" ht="24.75" customHeight="1" thickBot="1">
      <c r="A14" s="190"/>
      <c r="B14" s="191" t="s">
        <v>89</v>
      </c>
      <c r="C14" s="191" t="s">
        <v>18</v>
      </c>
      <c r="D14" s="1085" t="s">
        <v>20</v>
      </c>
      <c r="E14" s="1085"/>
      <c r="F14" s="1085"/>
      <c r="G14" s="1085" t="s">
        <v>115</v>
      </c>
      <c r="H14" s="1085"/>
      <c r="I14" s="1085" t="s">
        <v>140</v>
      </c>
      <c r="J14" s="1085"/>
      <c r="K14" s="1085"/>
      <c r="L14" s="192" t="s">
        <v>116</v>
      </c>
      <c r="M14" s="192"/>
      <c r="N14" s="1085" t="s">
        <v>117</v>
      </c>
      <c r="O14" s="1085"/>
    </row>
    <row r="15" spans="1:15" s="203" customFormat="1" ht="24.75" customHeight="1">
      <c r="A15" s="193">
        <v>1</v>
      </c>
      <c r="B15" s="179"/>
      <c r="C15" s="179"/>
      <c r="D15" s="1072" t="s">
        <v>647</v>
      </c>
      <c r="E15" s="1073"/>
      <c r="F15" s="1074"/>
      <c r="G15" s="1075">
        <v>37154</v>
      </c>
      <c r="H15" s="1076"/>
      <c r="I15" s="1077" t="s">
        <v>656</v>
      </c>
      <c r="J15" s="1078"/>
      <c r="K15" s="1079"/>
      <c r="L15" s="1080" t="s">
        <v>595</v>
      </c>
      <c r="M15" s="1081"/>
      <c r="N15" s="1058"/>
      <c r="O15" s="1059"/>
    </row>
    <row r="16" spans="1:15" s="203" customFormat="1" ht="24.75" customHeight="1">
      <c r="A16" s="194">
        <v>2</v>
      </c>
      <c r="B16" s="180"/>
      <c r="C16" s="180"/>
      <c r="D16" s="1060" t="s">
        <v>648</v>
      </c>
      <c r="E16" s="1061"/>
      <c r="F16" s="1062"/>
      <c r="G16" s="1063">
        <v>37146</v>
      </c>
      <c r="H16" s="1064"/>
      <c r="I16" s="1065" t="s">
        <v>657</v>
      </c>
      <c r="J16" s="1066"/>
      <c r="K16" s="1067"/>
      <c r="L16" s="1068" t="s">
        <v>595</v>
      </c>
      <c r="M16" s="1069"/>
      <c r="N16" s="1070"/>
      <c r="O16" s="1071"/>
    </row>
    <row r="17" spans="1:15" s="203" customFormat="1" ht="24.75" customHeight="1">
      <c r="A17" s="194">
        <v>3</v>
      </c>
      <c r="B17" s="180"/>
      <c r="C17" s="180"/>
      <c r="D17" s="1060" t="s">
        <v>649</v>
      </c>
      <c r="E17" s="1061"/>
      <c r="F17" s="1062"/>
      <c r="G17" s="1063">
        <v>36780</v>
      </c>
      <c r="H17" s="1064"/>
      <c r="I17" s="1065" t="s">
        <v>658</v>
      </c>
      <c r="J17" s="1066"/>
      <c r="K17" s="1067"/>
      <c r="L17" s="1068" t="s">
        <v>595</v>
      </c>
      <c r="M17" s="1069"/>
      <c r="N17" s="1070"/>
      <c r="O17" s="1071"/>
    </row>
    <row r="18" spans="1:15" s="203" customFormat="1" ht="24.75" customHeight="1">
      <c r="A18" s="194">
        <v>4</v>
      </c>
      <c r="B18" s="180"/>
      <c r="C18" s="180"/>
      <c r="D18" s="1060" t="s">
        <v>650</v>
      </c>
      <c r="E18" s="1061"/>
      <c r="F18" s="1062"/>
      <c r="G18" s="1063">
        <v>36373</v>
      </c>
      <c r="H18" s="1064"/>
      <c r="I18" s="1065" t="s">
        <v>659</v>
      </c>
      <c r="J18" s="1066"/>
      <c r="K18" s="1067"/>
      <c r="L18" s="1068" t="s">
        <v>595</v>
      </c>
      <c r="M18" s="1069"/>
      <c r="N18" s="1070"/>
      <c r="O18" s="1071"/>
    </row>
    <row r="19" spans="1:15" s="203" customFormat="1" ht="24.75" customHeight="1">
      <c r="A19" s="194">
        <v>5</v>
      </c>
      <c r="B19" s="180"/>
      <c r="C19" s="180"/>
      <c r="D19" s="1060" t="s">
        <v>651</v>
      </c>
      <c r="E19" s="1061"/>
      <c r="F19" s="1062"/>
      <c r="G19" s="1063">
        <v>37531</v>
      </c>
      <c r="H19" s="1064"/>
      <c r="I19" s="1065" t="s">
        <v>660</v>
      </c>
      <c r="J19" s="1066"/>
      <c r="K19" s="1067"/>
      <c r="L19" s="1068" t="s">
        <v>595</v>
      </c>
      <c r="M19" s="1069"/>
      <c r="N19" s="1070"/>
      <c r="O19" s="1071"/>
    </row>
    <row r="20" spans="1:15" s="203" customFormat="1" ht="24.75" customHeight="1">
      <c r="A20" s="194">
        <v>6</v>
      </c>
      <c r="B20" s="180"/>
      <c r="C20" s="180"/>
      <c r="D20" s="1060" t="s">
        <v>652</v>
      </c>
      <c r="E20" s="1061"/>
      <c r="F20" s="1062"/>
      <c r="G20" s="1063">
        <v>36847</v>
      </c>
      <c r="H20" s="1064"/>
      <c r="I20" s="1065" t="s">
        <v>661</v>
      </c>
      <c r="J20" s="1066"/>
      <c r="K20" s="1067"/>
      <c r="L20" s="1068" t="s">
        <v>595</v>
      </c>
      <c r="M20" s="1069"/>
      <c r="N20" s="1070"/>
      <c r="O20" s="1071"/>
    </row>
    <row r="21" spans="1:15" s="203" customFormat="1" ht="24.75" customHeight="1">
      <c r="A21" s="194">
        <v>7</v>
      </c>
      <c r="B21" s="180"/>
      <c r="C21" s="180"/>
      <c r="D21" s="1060" t="s">
        <v>653</v>
      </c>
      <c r="E21" s="1061"/>
      <c r="F21" s="1062"/>
      <c r="G21" s="1063">
        <v>36733</v>
      </c>
      <c r="H21" s="1064"/>
      <c r="I21" s="1065" t="s">
        <v>662</v>
      </c>
      <c r="J21" s="1066"/>
      <c r="K21" s="1067"/>
      <c r="L21" s="1068" t="s">
        <v>595</v>
      </c>
      <c r="M21" s="1069"/>
      <c r="N21" s="1070"/>
      <c r="O21" s="1071"/>
    </row>
    <row r="22" spans="1:15" s="203" customFormat="1" ht="24.75" customHeight="1">
      <c r="A22" s="194">
        <v>8</v>
      </c>
      <c r="B22" s="180"/>
      <c r="C22" s="180"/>
      <c r="D22" s="1060"/>
      <c r="E22" s="1061"/>
      <c r="F22" s="1062"/>
      <c r="G22" s="1063"/>
      <c r="H22" s="1064"/>
      <c r="I22" s="1065"/>
      <c r="J22" s="1066"/>
      <c r="K22" s="1067"/>
      <c r="L22" s="1068"/>
      <c r="M22" s="1069"/>
      <c r="N22" s="1070"/>
      <c r="O22" s="1071"/>
    </row>
    <row r="23" spans="1:15" s="203" customFormat="1" ht="24.75" customHeight="1">
      <c r="A23" s="194">
        <v>9</v>
      </c>
      <c r="B23" s="180"/>
      <c r="C23" s="180"/>
      <c r="D23" s="1060"/>
      <c r="E23" s="1061"/>
      <c r="F23" s="1062"/>
      <c r="G23" s="1063"/>
      <c r="H23" s="1064"/>
      <c r="I23" s="1065"/>
      <c r="J23" s="1066"/>
      <c r="K23" s="1067"/>
      <c r="L23" s="1068"/>
      <c r="M23" s="1069"/>
      <c r="N23" s="1070"/>
      <c r="O23" s="1071"/>
    </row>
    <row r="24" spans="1:15" s="203" customFormat="1" ht="24.75" customHeight="1" thickBot="1">
      <c r="A24" s="195">
        <v>10</v>
      </c>
      <c r="B24" s="181"/>
      <c r="C24" s="181"/>
      <c r="D24" s="1086"/>
      <c r="E24" s="1087"/>
      <c r="F24" s="1088"/>
      <c r="G24" s="1089"/>
      <c r="H24" s="1090"/>
      <c r="I24" s="1091"/>
      <c r="J24" s="1092"/>
      <c r="K24" s="1093"/>
      <c r="L24" s="1094"/>
      <c r="M24" s="1095"/>
      <c r="N24" s="1096"/>
      <c r="O24" s="1097"/>
    </row>
    <row r="25" spans="1:15" s="203" customFormat="1" ht="24.75" customHeight="1">
      <c r="A25" s="196" t="s">
        <v>39</v>
      </c>
      <c r="B25" s="179"/>
      <c r="C25" s="179"/>
      <c r="D25" s="1072" t="s">
        <v>654</v>
      </c>
      <c r="E25" s="1073"/>
      <c r="F25" s="1074"/>
      <c r="G25" s="1075"/>
      <c r="H25" s="1076"/>
      <c r="I25" s="1103"/>
      <c r="J25" s="1104"/>
      <c r="K25" s="1105"/>
      <c r="L25" s="1106"/>
      <c r="M25" s="1107"/>
      <c r="N25" s="1058"/>
      <c r="O25" s="1059"/>
    </row>
    <row r="26" spans="1:15" s="203" customFormat="1" ht="24.75" customHeight="1" thickBot="1">
      <c r="A26" s="197" t="s">
        <v>40</v>
      </c>
      <c r="B26" s="181"/>
      <c r="C26" s="181"/>
      <c r="D26" s="1086" t="s">
        <v>655</v>
      </c>
      <c r="E26" s="1087"/>
      <c r="F26" s="1088"/>
      <c r="G26" s="1089"/>
      <c r="H26" s="1090"/>
      <c r="I26" s="1098"/>
      <c r="J26" s="1099"/>
      <c r="K26" s="1100"/>
      <c r="L26" s="1101"/>
      <c r="M26" s="1102"/>
      <c r="N26" s="1096"/>
      <c r="O26" s="1097"/>
    </row>
    <row r="27" spans="1:15" s="203" customFormat="1" ht="24.75" customHeight="1" thickBot="1">
      <c r="A27" s="446" t="s">
        <v>231</v>
      </c>
      <c r="B27" s="447"/>
      <c r="C27" s="447"/>
      <c r="D27" s="447"/>
      <c r="E27" s="447"/>
      <c r="F27" s="448"/>
      <c r="G27" s="449">
        <f>G65</f>
        <v>13.025440313111545</v>
      </c>
      <c r="H27" s="249" t="s">
        <v>232</v>
      </c>
      <c r="I27" s="447"/>
      <c r="J27" s="447"/>
      <c r="K27" s="447"/>
      <c r="L27" s="447"/>
      <c r="M27" s="447"/>
      <c r="N27" s="447"/>
      <c r="O27" s="448"/>
    </row>
    <row r="28" spans="11:13" s="203" customFormat="1" ht="12.75" hidden="1">
      <c r="K28" s="182">
        <f>IF(L12="31.12.",31,IF(L12="01.01.",1,IF(L12="01.07.",1,30)))</f>
        <v>1</v>
      </c>
      <c r="L28" s="182">
        <f>IF(L12="31.12.",12,IF(L12="01.01.",1,IF(L12="01.07.",7,6)))</f>
        <v>7</v>
      </c>
      <c r="M28" s="303">
        <f>M12</f>
        <v>1999</v>
      </c>
    </row>
    <row r="29" spans="4:15" s="203" customFormat="1" ht="12.75" hidden="1">
      <c r="D29" s="450">
        <f>IF(G15="","",G15)</f>
        <v>37154</v>
      </c>
      <c r="E29" s="450">
        <f>IF(D29="","",D29+1)</f>
        <v>37155</v>
      </c>
      <c r="F29" s="303">
        <f>IF(D29="","",DAY(D29))</f>
        <v>20</v>
      </c>
      <c r="G29" s="303">
        <f>IF(D29="","",MONTH(D29))</f>
        <v>9</v>
      </c>
      <c r="H29" s="203">
        <f>IF(D29="","",YEAR(D29))</f>
        <v>2001</v>
      </c>
      <c r="K29" s="203">
        <f>IF(D29="","",$K$28-F29)</f>
        <v>-19</v>
      </c>
      <c r="L29" s="203">
        <f>IF(D29="","",$L$28-G29)</f>
        <v>-2</v>
      </c>
      <c r="M29" s="203">
        <f>IF(D29="","",$M$28-H29)</f>
        <v>-2</v>
      </c>
      <c r="N29" s="203">
        <f>K29+(L29*100)+(M29*10000)</f>
        <v>-20219</v>
      </c>
      <c r="O29" s="203">
        <f>IF(Mannschaften!H$3=Mannschaften!K$166,N29,IF(Mannschaften!H$3=Mannschaften!K$167,N29,IF(Mannschaften!H$3=Mannschaften!K$168,N29,IF(Mannschaften!H$3=Mannschaften!K$169,N29,IF(Mannschaften!H$3=Mannschaften!K$170,N29,N29*-1)))))</f>
        <v>20219</v>
      </c>
    </row>
    <row r="30" spans="4:15" s="203" customFormat="1" ht="12.75" hidden="1">
      <c r="D30" s="450">
        <f aca="true" t="shared" si="0" ref="D30:D38">IF(G16="","",G16)</f>
        <v>37146</v>
      </c>
      <c r="E30" s="450">
        <f aca="true" t="shared" si="1" ref="E30:E38">IF(D30="","",D30+1)</f>
        <v>37147</v>
      </c>
      <c r="F30" s="303">
        <f aca="true" t="shared" si="2" ref="F30:F38">IF(D30="","",DAY(D30))</f>
        <v>12</v>
      </c>
      <c r="G30" s="303">
        <f aca="true" t="shared" si="3" ref="G30:G38">IF(D30="","",MONTH(D30))</f>
        <v>9</v>
      </c>
      <c r="H30" s="203">
        <f aca="true" t="shared" si="4" ref="H30:H38">IF(D30="","",YEAR(D30))</f>
        <v>2001</v>
      </c>
      <c r="K30" s="203">
        <f aca="true" t="shared" si="5" ref="K30:K35">IF(D30="","",$K$28-F30)</f>
        <v>-11</v>
      </c>
      <c r="L30" s="203">
        <f aca="true" t="shared" si="6" ref="L30:L35">IF(D30="","",$L$28-G30)</f>
        <v>-2</v>
      </c>
      <c r="M30" s="203">
        <f aca="true" t="shared" si="7" ref="M30:M35">IF(D30="","",$M$28-H30)</f>
        <v>-2</v>
      </c>
      <c r="N30" s="203">
        <f aca="true" t="shared" si="8" ref="N30:N35">K30+(L30*100)+(M30*10000)</f>
        <v>-20211</v>
      </c>
      <c r="O30" s="203">
        <f>IF(Mannschaften!H$3=Mannschaften!K$166,N30,IF(Mannschaften!H$3=Mannschaften!K$167,N30,IF(Mannschaften!H$3=Mannschaften!K$168,N30,IF(Mannschaften!H$3=Mannschaften!K$169,N30,IF(Mannschaften!H$3=Mannschaften!K$170,N30,N30*-1)))))</f>
        <v>20211</v>
      </c>
    </row>
    <row r="31" spans="4:15" s="203" customFormat="1" ht="12.75" hidden="1">
      <c r="D31" s="450">
        <f t="shared" si="0"/>
        <v>36780</v>
      </c>
      <c r="E31" s="450">
        <f t="shared" si="1"/>
        <v>36781</v>
      </c>
      <c r="F31" s="303">
        <f t="shared" si="2"/>
        <v>11</v>
      </c>
      <c r="G31" s="303">
        <f t="shared" si="3"/>
        <v>9</v>
      </c>
      <c r="H31" s="203">
        <f t="shared" si="4"/>
        <v>2000</v>
      </c>
      <c r="K31" s="203">
        <f t="shared" si="5"/>
        <v>-10</v>
      </c>
      <c r="L31" s="203">
        <f t="shared" si="6"/>
        <v>-2</v>
      </c>
      <c r="M31" s="203">
        <f t="shared" si="7"/>
        <v>-1</v>
      </c>
      <c r="N31" s="203">
        <f t="shared" si="8"/>
        <v>-10210</v>
      </c>
      <c r="O31" s="203">
        <f>IF(Mannschaften!H$3=Mannschaften!K$166,N31,IF(Mannschaften!H$3=Mannschaften!K$167,N31,IF(Mannschaften!H$3=Mannschaften!K$168,N31,IF(Mannschaften!H$3=Mannschaften!K$169,N31,IF(Mannschaften!H$3=Mannschaften!K$170,N31,N31*-1)))))</f>
        <v>10210</v>
      </c>
    </row>
    <row r="32" spans="4:15" s="203" customFormat="1" ht="12.75" hidden="1">
      <c r="D32" s="450">
        <f t="shared" si="0"/>
        <v>36373</v>
      </c>
      <c r="E32" s="450">
        <f t="shared" si="1"/>
        <v>36374</v>
      </c>
      <c r="F32" s="303">
        <f t="shared" si="2"/>
        <v>1</v>
      </c>
      <c r="G32" s="303">
        <f t="shared" si="3"/>
        <v>8</v>
      </c>
      <c r="H32" s="203">
        <f t="shared" si="4"/>
        <v>1999</v>
      </c>
      <c r="K32" s="203">
        <f t="shared" si="5"/>
        <v>0</v>
      </c>
      <c r="L32" s="203">
        <f t="shared" si="6"/>
        <v>-1</v>
      </c>
      <c r="M32" s="203">
        <f t="shared" si="7"/>
        <v>0</v>
      </c>
      <c r="N32" s="203">
        <f t="shared" si="8"/>
        <v>-100</v>
      </c>
      <c r="O32" s="203">
        <f>IF(Mannschaften!H$3=Mannschaften!K$166,N32,IF(Mannschaften!H$3=Mannschaften!K$167,N32,IF(Mannschaften!H$3=Mannschaften!K$168,N32,IF(Mannschaften!H$3=Mannschaften!K$169,N32,IF(Mannschaften!H$3=Mannschaften!K$170,N32,N32*-1)))))</f>
        <v>100</v>
      </c>
    </row>
    <row r="33" spans="4:15" s="203" customFormat="1" ht="12.75" hidden="1">
      <c r="D33" s="450">
        <f t="shared" si="0"/>
        <v>37531</v>
      </c>
      <c r="E33" s="450">
        <f t="shared" si="1"/>
        <v>37532</v>
      </c>
      <c r="F33" s="303">
        <f t="shared" si="2"/>
        <v>2</v>
      </c>
      <c r="G33" s="303">
        <f t="shared" si="3"/>
        <v>10</v>
      </c>
      <c r="H33" s="203">
        <f t="shared" si="4"/>
        <v>2002</v>
      </c>
      <c r="K33" s="203">
        <f t="shared" si="5"/>
        <v>-1</v>
      </c>
      <c r="L33" s="203">
        <f t="shared" si="6"/>
        <v>-3</v>
      </c>
      <c r="M33" s="203">
        <f t="shared" si="7"/>
        <v>-3</v>
      </c>
      <c r="N33" s="203">
        <f t="shared" si="8"/>
        <v>-30301</v>
      </c>
      <c r="O33" s="203">
        <f>IF(Mannschaften!H$3=Mannschaften!K$166,N33,IF(Mannschaften!H$3=Mannschaften!K$167,N33,IF(Mannschaften!H$3=Mannschaften!K$168,N33,IF(Mannschaften!H$3=Mannschaften!K$169,N33,IF(Mannschaften!H$3=Mannschaften!K$170,N33,N33*-1)))))</f>
        <v>30301</v>
      </c>
    </row>
    <row r="34" spans="4:15" s="203" customFormat="1" ht="12.75" hidden="1">
      <c r="D34" s="450">
        <f>IF(G20="","",G20)</f>
        <v>36847</v>
      </c>
      <c r="E34" s="450">
        <f t="shared" si="1"/>
        <v>36848</v>
      </c>
      <c r="F34" s="303">
        <f t="shared" si="2"/>
        <v>17</v>
      </c>
      <c r="G34" s="303">
        <f t="shared" si="3"/>
        <v>11</v>
      </c>
      <c r="H34" s="203">
        <f t="shared" si="4"/>
        <v>2000</v>
      </c>
      <c r="K34" s="203">
        <f t="shared" si="5"/>
        <v>-16</v>
      </c>
      <c r="L34" s="203">
        <f t="shared" si="6"/>
        <v>-4</v>
      </c>
      <c r="M34" s="203">
        <f t="shared" si="7"/>
        <v>-1</v>
      </c>
      <c r="N34" s="203">
        <f t="shared" si="8"/>
        <v>-10416</v>
      </c>
      <c r="O34" s="203">
        <f>IF(Mannschaften!H$3=Mannschaften!K$166,N34,IF(Mannschaften!H$3=Mannschaften!K$167,N34,IF(Mannschaften!H$3=Mannschaften!K$168,N34,IF(Mannschaften!H$3=Mannschaften!K$169,N34,IF(Mannschaften!H$3=Mannschaften!K$170,N34,N34*-1)))))</f>
        <v>10416</v>
      </c>
    </row>
    <row r="35" spans="4:15" s="203" customFormat="1" ht="12.75" hidden="1">
      <c r="D35" s="450">
        <f>IF(G21="","",G21)</f>
        <v>36733</v>
      </c>
      <c r="E35" s="450">
        <f t="shared" si="1"/>
        <v>36734</v>
      </c>
      <c r="F35" s="303">
        <f t="shared" si="2"/>
        <v>26</v>
      </c>
      <c r="G35" s="303">
        <f t="shared" si="3"/>
        <v>7</v>
      </c>
      <c r="H35" s="203">
        <f t="shared" si="4"/>
        <v>2000</v>
      </c>
      <c r="K35" s="203">
        <f t="shared" si="5"/>
        <v>-25</v>
      </c>
      <c r="L35" s="203">
        <f t="shared" si="6"/>
        <v>0</v>
      </c>
      <c r="M35" s="203">
        <f t="shared" si="7"/>
        <v>-1</v>
      </c>
      <c r="N35" s="203">
        <f t="shared" si="8"/>
        <v>-10025</v>
      </c>
      <c r="O35" s="203">
        <f>IF(Mannschaften!H$3=Mannschaften!K$166,N35,IF(Mannschaften!H$3=Mannschaften!K$167,N35,IF(Mannschaften!H$3=Mannschaften!K$168,N35,IF(Mannschaften!H$3=Mannschaften!K$169,N35,IF(Mannschaften!H$3=Mannschaften!K$170,N35,N35*-1)))))</f>
        <v>10025</v>
      </c>
    </row>
    <row r="36" spans="4:15" s="203" customFormat="1" ht="12.75" hidden="1">
      <c r="D36" s="450">
        <f t="shared" si="0"/>
      </c>
      <c r="E36" s="450">
        <f t="shared" si="1"/>
      </c>
      <c r="F36" s="303">
        <f t="shared" si="2"/>
      </c>
      <c r="G36" s="303">
        <f t="shared" si="3"/>
      </c>
      <c r="H36" s="203">
        <f t="shared" si="4"/>
      </c>
      <c r="K36" s="203">
        <f>IF(D36="","",$K$28-F36)</f>
      </c>
      <c r="L36" s="203">
        <f>IF(D36="","",$L$28-G36)</f>
      </c>
      <c r="M36" s="203">
        <f>IF(D36="","",$M$28-H36)</f>
      </c>
      <c r="N36" s="203" t="e">
        <f>K36+(L36*100)+(M36*10000)</f>
        <v>#VALUE!</v>
      </c>
      <c r="O36" s="203" t="e">
        <f>IF(Mannschaften!H$3=Mannschaften!K$166,N36,IF(Mannschaften!H$3=Mannschaften!K$167,N36,IF(Mannschaften!H$3=Mannschaften!K$168,N36,IF(Mannschaften!H$3=Mannschaften!K$169,N36,IF(Mannschaften!H$3=Mannschaften!K$170,N36,N36*-1)))))</f>
        <v>#VALUE!</v>
      </c>
    </row>
    <row r="37" spans="4:15" s="203" customFormat="1" ht="12.75" hidden="1">
      <c r="D37" s="450">
        <f t="shared" si="0"/>
      </c>
      <c r="E37" s="450">
        <f t="shared" si="1"/>
      </c>
      <c r="F37" s="303">
        <f t="shared" si="2"/>
      </c>
      <c r="G37" s="303">
        <f t="shared" si="3"/>
      </c>
      <c r="H37" s="203">
        <f t="shared" si="4"/>
      </c>
      <c r="K37" s="203">
        <f>IF(D37="","",$K$28-F37)</f>
      </c>
      <c r="L37" s="203">
        <f>IF(D37="","",$L$28-G37)</f>
      </c>
      <c r="M37" s="203">
        <f>IF(D37="","",$M$28-H37)</f>
      </c>
      <c r="N37" s="203" t="e">
        <f>K37+(L37*100)+(M37*10000)</f>
        <v>#VALUE!</v>
      </c>
      <c r="O37" s="203" t="e">
        <f>IF(Mannschaften!H$3=Mannschaften!K$166,N37,IF(Mannschaften!H$3=Mannschaften!K$167,N37,IF(Mannschaften!H$3=Mannschaften!K$168,N37,IF(Mannschaften!H$3=Mannschaften!K$169,N37,IF(Mannschaften!H$3=Mannschaften!K$170,N37,N37*-1)))))</f>
        <v>#VALUE!</v>
      </c>
    </row>
    <row r="38" spans="4:15" s="203" customFormat="1" ht="12.75" hidden="1">
      <c r="D38" s="450">
        <f t="shared" si="0"/>
      </c>
      <c r="E38" s="450">
        <f t="shared" si="1"/>
      </c>
      <c r="F38" s="303">
        <f t="shared" si="2"/>
      </c>
      <c r="G38" s="303">
        <f t="shared" si="3"/>
      </c>
      <c r="H38" s="203">
        <f t="shared" si="4"/>
      </c>
      <c r="K38" s="203">
        <f>IF(D38="","",$K$28-F38)</f>
      </c>
      <c r="L38" s="203">
        <f>IF(D38="","",$L$28-G38)</f>
      </c>
      <c r="M38" s="203">
        <f>IF(D38="","",$M$28-H38)</f>
      </c>
      <c r="N38" s="203" t="e">
        <f>K38+(L38*100)+(M38*10000)</f>
        <v>#VALUE!</v>
      </c>
      <c r="O38" s="203" t="e">
        <f>IF(Mannschaften!H$3=Mannschaften!K$166,N38,IF(Mannschaften!H$3=Mannschaften!K$167,N38,IF(Mannschaften!H$3=Mannschaften!K$168,N38,IF(Mannschaften!H$3=Mannschaften!K$169,N38,IF(Mannschaften!H$3=Mannschaften!K$170,N38,N38*-1)))))</f>
        <v>#VALUE!</v>
      </c>
    </row>
    <row r="39" s="203" customFormat="1" ht="12.75" hidden="1"/>
    <row r="40" spans="4:9" s="203" customFormat="1" ht="12.75" hidden="1">
      <c r="D40" s="203">
        <f>DAY(Mannschaften!K4)</f>
        <v>22</v>
      </c>
      <c r="E40" s="203">
        <f>MONTH(Mannschaften!K4)</f>
        <v>2</v>
      </c>
      <c r="H40" s="203">
        <f>DAY(Mannschaften!M4)</f>
        <v>23</v>
      </c>
      <c r="I40" s="203">
        <f>MONTH(Mannschaften!M4)</f>
        <v>2</v>
      </c>
    </row>
    <row r="41" spans="4:11" s="203" customFormat="1" ht="12.75" hidden="1">
      <c r="D41" s="303">
        <f>IF($D$40=F29,1,0)</f>
        <v>0</v>
      </c>
      <c r="E41" s="303">
        <f>IF($E$40=G29,1,0)</f>
        <v>0</v>
      </c>
      <c r="F41" s="303"/>
      <c r="G41" s="303">
        <f>D41+E41</f>
        <v>0</v>
      </c>
      <c r="H41" s="303">
        <f>IF($H$40=F29,1,0)</f>
        <v>0</v>
      </c>
      <c r="I41" s="303">
        <f>IF($I$40=G29,1,0)</f>
        <v>0</v>
      </c>
      <c r="K41" s="303">
        <f>H41+I41</f>
        <v>0</v>
      </c>
    </row>
    <row r="42" spans="4:11" s="203" customFormat="1" ht="12.75" hidden="1">
      <c r="D42" s="303">
        <f aca="true" t="shared" si="9" ref="D42:D50">IF($D$40=F30,1,0)</f>
        <v>0</v>
      </c>
      <c r="E42" s="303">
        <f aca="true" t="shared" si="10" ref="E42:E50">IF($E$40=G30,1,0)</f>
        <v>0</v>
      </c>
      <c r="F42" s="303"/>
      <c r="G42" s="303">
        <f aca="true" t="shared" si="11" ref="G42:G50">D42+E42</f>
        <v>0</v>
      </c>
      <c r="H42" s="303">
        <f aca="true" t="shared" si="12" ref="H42:H50">IF($H$40=F30,1,0)</f>
        <v>0</v>
      </c>
      <c r="I42" s="303">
        <f aca="true" t="shared" si="13" ref="I42:I50">IF($I$40=G30,1,0)</f>
        <v>0</v>
      </c>
      <c r="K42" s="303">
        <f aca="true" t="shared" si="14" ref="K42:K50">H42+I42</f>
        <v>0</v>
      </c>
    </row>
    <row r="43" spans="4:11" s="203" customFormat="1" ht="12.75" hidden="1">
      <c r="D43" s="303">
        <f t="shared" si="9"/>
        <v>0</v>
      </c>
      <c r="E43" s="303">
        <f t="shared" si="10"/>
        <v>0</v>
      </c>
      <c r="F43" s="303"/>
      <c r="G43" s="303">
        <f t="shared" si="11"/>
        <v>0</v>
      </c>
      <c r="H43" s="303">
        <f t="shared" si="12"/>
        <v>0</v>
      </c>
      <c r="I43" s="303">
        <f t="shared" si="13"/>
        <v>0</v>
      </c>
      <c r="K43" s="303">
        <f t="shared" si="14"/>
        <v>0</v>
      </c>
    </row>
    <row r="44" spans="4:11" s="203" customFormat="1" ht="12.75" hidden="1">
      <c r="D44" s="303">
        <f t="shared" si="9"/>
        <v>0</v>
      </c>
      <c r="E44" s="303">
        <f t="shared" si="10"/>
        <v>0</v>
      </c>
      <c r="F44" s="303"/>
      <c r="G44" s="303">
        <f t="shared" si="11"/>
        <v>0</v>
      </c>
      <c r="H44" s="303">
        <f t="shared" si="12"/>
        <v>0</v>
      </c>
      <c r="I44" s="303">
        <f t="shared" si="13"/>
        <v>0</v>
      </c>
      <c r="K44" s="303">
        <f t="shared" si="14"/>
        <v>0</v>
      </c>
    </row>
    <row r="45" spans="4:11" s="203" customFormat="1" ht="12.75" hidden="1">
      <c r="D45" s="303">
        <f t="shared" si="9"/>
        <v>0</v>
      </c>
      <c r="E45" s="303">
        <f t="shared" si="10"/>
        <v>0</v>
      </c>
      <c r="F45" s="303"/>
      <c r="G45" s="303">
        <f t="shared" si="11"/>
        <v>0</v>
      </c>
      <c r="H45" s="303">
        <f t="shared" si="12"/>
        <v>0</v>
      </c>
      <c r="I45" s="303">
        <f t="shared" si="13"/>
        <v>0</v>
      </c>
      <c r="K45" s="303">
        <f t="shared" si="14"/>
        <v>0</v>
      </c>
    </row>
    <row r="46" spans="4:11" s="203" customFormat="1" ht="12.75" hidden="1">
      <c r="D46" s="303">
        <f t="shared" si="9"/>
        <v>0</v>
      </c>
      <c r="E46" s="303">
        <f t="shared" si="10"/>
        <v>0</v>
      </c>
      <c r="F46" s="303"/>
      <c r="G46" s="303">
        <f t="shared" si="11"/>
        <v>0</v>
      </c>
      <c r="H46" s="303">
        <f t="shared" si="12"/>
        <v>0</v>
      </c>
      <c r="I46" s="303">
        <f t="shared" si="13"/>
        <v>0</v>
      </c>
      <c r="K46" s="303">
        <f t="shared" si="14"/>
        <v>0</v>
      </c>
    </row>
    <row r="47" spans="4:11" s="203" customFormat="1" ht="12.75" hidden="1">
      <c r="D47" s="303">
        <f t="shared" si="9"/>
        <v>0</v>
      </c>
      <c r="E47" s="303">
        <f t="shared" si="10"/>
        <v>0</v>
      </c>
      <c r="F47" s="303"/>
      <c r="G47" s="303">
        <f t="shared" si="11"/>
        <v>0</v>
      </c>
      <c r="H47" s="303">
        <f t="shared" si="12"/>
        <v>0</v>
      </c>
      <c r="I47" s="303">
        <f t="shared" si="13"/>
        <v>0</v>
      </c>
      <c r="K47" s="303">
        <f t="shared" si="14"/>
        <v>0</v>
      </c>
    </row>
    <row r="48" spans="4:11" s="203" customFormat="1" ht="12.75" hidden="1">
      <c r="D48" s="303">
        <f t="shared" si="9"/>
        <v>0</v>
      </c>
      <c r="E48" s="303">
        <f t="shared" si="10"/>
        <v>0</v>
      </c>
      <c r="F48" s="303"/>
      <c r="G48" s="303">
        <f t="shared" si="11"/>
        <v>0</v>
      </c>
      <c r="H48" s="303">
        <f t="shared" si="12"/>
        <v>0</v>
      </c>
      <c r="I48" s="303">
        <f t="shared" si="13"/>
        <v>0</v>
      </c>
      <c r="K48" s="303">
        <f t="shared" si="14"/>
        <v>0</v>
      </c>
    </row>
    <row r="49" spans="4:11" s="203" customFormat="1" ht="12.75" hidden="1">
      <c r="D49" s="303">
        <f t="shared" si="9"/>
        <v>0</v>
      </c>
      <c r="E49" s="303">
        <f t="shared" si="10"/>
        <v>0</v>
      </c>
      <c r="F49" s="303"/>
      <c r="G49" s="303">
        <f t="shared" si="11"/>
        <v>0</v>
      </c>
      <c r="H49" s="303">
        <f t="shared" si="12"/>
        <v>0</v>
      </c>
      <c r="I49" s="303">
        <f t="shared" si="13"/>
        <v>0</v>
      </c>
      <c r="K49" s="303">
        <f t="shared" si="14"/>
        <v>0</v>
      </c>
    </row>
    <row r="50" spans="4:11" s="203" customFormat="1" ht="12.75" hidden="1">
      <c r="D50" s="303">
        <f t="shared" si="9"/>
        <v>0</v>
      </c>
      <c r="E50" s="303">
        <f t="shared" si="10"/>
        <v>0</v>
      </c>
      <c r="F50" s="303"/>
      <c r="G50" s="303">
        <f t="shared" si="11"/>
        <v>0</v>
      </c>
      <c r="H50" s="303">
        <f t="shared" si="12"/>
        <v>0</v>
      </c>
      <c r="I50" s="303">
        <f t="shared" si="13"/>
        <v>0</v>
      </c>
      <c r="K50" s="303">
        <f t="shared" si="14"/>
        <v>0</v>
      </c>
    </row>
    <row r="51" s="203" customFormat="1" ht="12.75" hidden="1"/>
    <row r="52" s="203" customFormat="1" ht="12.75" hidden="1"/>
    <row r="53" s="203" customFormat="1" ht="12.75" hidden="1"/>
    <row r="54" spans="7:8" s="203" customFormat="1" ht="12.75" hidden="1">
      <c r="G54" s="303">
        <f>IF(G15="","",I$4-G15)</f>
        <v>4538</v>
      </c>
      <c r="H54" s="203">
        <f>IF(G54="",0,1)</f>
        <v>1</v>
      </c>
    </row>
    <row r="55" spans="7:8" s="203" customFormat="1" ht="12.75" hidden="1">
      <c r="G55" s="303">
        <f aca="true" t="shared" si="15" ref="G55:G63">IF(G16="","",I$4-G16)</f>
        <v>4546</v>
      </c>
      <c r="H55" s="203">
        <f aca="true" t="shared" si="16" ref="H55:H63">IF(G55="",0,1)</f>
        <v>1</v>
      </c>
    </row>
    <row r="56" spans="7:8" s="203" customFormat="1" ht="12.75" hidden="1">
      <c r="G56" s="303">
        <f t="shared" si="15"/>
        <v>4912</v>
      </c>
      <c r="H56" s="203">
        <f t="shared" si="16"/>
        <v>1</v>
      </c>
    </row>
    <row r="57" spans="7:8" s="203" customFormat="1" ht="12.75" hidden="1">
      <c r="G57" s="303">
        <f t="shared" si="15"/>
        <v>5319</v>
      </c>
      <c r="H57" s="203">
        <f t="shared" si="16"/>
        <v>1</v>
      </c>
    </row>
    <row r="58" spans="7:8" s="203" customFormat="1" ht="12.75" hidden="1">
      <c r="G58" s="303">
        <f t="shared" si="15"/>
        <v>4161</v>
      </c>
      <c r="H58" s="203">
        <f t="shared" si="16"/>
        <v>1</v>
      </c>
    </row>
    <row r="59" spans="7:8" s="203" customFormat="1" ht="12.75" hidden="1">
      <c r="G59" s="303">
        <f t="shared" si="15"/>
        <v>4845</v>
      </c>
      <c r="H59" s="203">
        <f t="shared" si="16"/>
        <v>1</v>
      </c>
    </row>
    <row r="60" spans="7:8" s="203" customFormat="1" ht="12.75" hidden="1">
      <c r="G60" s="303">
        <f t="shared" si="15"/>
        <v>4959</v>
      </c>
      <c r="H60" s="203">
        <f t="shared" si="16"/>
        <v>1</v>
      </c>
    </row>
    <row r="61" spans="7:8" s="203" customFormat="1" ht="12.75" hidden="1">
      <c r="G61" s="303">
        <f t="shared" si="15"/>
      </c>
      <c r="H61" s="203">
        <f t="shared" si="16"/>
        <v>0</v>
      </c>
    </row>
    <row r="62" spans="7:8" s="203" customFormat="1" ht="12.75" hidden="1">
      <c r="G62" s="303">
        <f t="shared" si="15"/>
      </c>
      <c r="H62" s="203">
        <f t="shared" si="16"/>
        <v>0</v>
      </c>
    </row>
    <row r="63" spans="7:8" s="203" customFormat="1" ht="12.75" hidden="1">
      <c r="G63" s="303">
        <f t="shared" si="15"/>
      </c>
      <c r="H63" s="203">
        <f t="shared" si="16"/>
        <v>0</v>
      </c>
    </row>
    <row r="64" spans="7:8" s="203" customFormat="1" ht="12.75" hidden="1">
      <c r="G64" s="303"/>
      <c r="H64" s="203">
        <f>SUM(H54:H63)</f>
        <v>7</v>
      </c>
    </row>
    <row r="65" s="203" customFormat="1" ht="12.75" hidden="1">
      <c r="G65" s="451">
        <f>IF(H64=0,"",SUM(G54:G63)/365/H64)</f>
        <v>13.025440313111545</v>
      </c>
    </row>
    <row r="66" s="203" customFormat="1" ht="12.75" hidden="1"/>
  </sheetData>
  <sheetProtection sheet="1" objects="1" scenarios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1" stopIfTrue="1">
      <formula>$G41=2</formula>
    </cfRule>
    <cfRule type="expression" priority="2" dxfId="1" stopIfTrue="1">
      <formula>$K41=2</formula>
    </cfRule>
    <cfRule type="expression" priority="3" dxfId="0" stopIfTrue="1">
      <formula>$O29&lt;0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Z65"/>
  <sheetViews>
    <sheetView zoomScalePageLayoutView="0" workbookViewId="0" topLeftCell="A7">
      <selection activeCell="F67" sqref="F67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11" t="s">
        <v>112</v>
      </c>
      <c r="F1" s="811"/>
      <c r="G1" s="811"/>
      <c r="H1" s="811"/>
      <c r="I1" s="811"/>
      <c r="J1" s="811"/>
      <c r="K1" s="811"/>
      <c r="L1" s="811"/>
      <c r="M1" s="811"/>
    </row>
    <row r="2" spans="5:13" s="203" customFormat="1" ht="21" customHeight="1">
      <c r="E2" s="1056" t="str">
        <f>IF(Mannschaften!D2="","",Mannschaften!D2)</f>
        <v>Ostdeutsche Meisterschaft der männl. Jugend 14 Halle 13/14</v>
      </c>
      <c r="F2" s="1056"/>
      <c r="G2" s="1056"/>
      <c r="H2" s="1056"/>
      <c r="I2" s="1056"/>
      <c r="J2" s="1056"/>
      <c r="K2" s="1056"/>
      <c r="L2" s="1056"/>
      <c r="M2" s="1056"/>
    </row>
    <row r="3" s="203" customFormat="1" ht="13.5" customHeight="1"/>
    <row r="4" spans="4:26" s="203" customFormat="1" ht="23.25" customHeight="1">
      <c r="D4" s="204"/>
      <c r="E4" s="777" t="str">
        <f>IF(Mannschaften!F4="","",Mannschaften!F4)</f>
        <v>Berlin</v>
      </c>
      <c r="F4" s="777"/>
      <c r="G4" s="777"/>
      <c r="H4" s="777"/>
      <c r="I4" s="185">
        <f>Mannschaften!K4</f>
        <v>41692</v>
      </c>
      <c r="J4" s="205" t="s">
        <v>92</v>
      </c>
      <c r="K4" s="185">
        <f>Mannschaften!M4</f>
        <v>41693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Berliner Turnerschaft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1057" t="s">
        <v>114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  <c r="N8" s="1057"/>
      <c r="O8" s="1057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1055" t="str">
        <f>Mannschaften!L10</f>
        <v>Berliner Turnerschaft</v>
      </c>
      <c r="E10" s="1055"/>
      <c r="F10" s="1055"/>
      <c r="G10" s="1055"/>
      <c r="H10" s="1055"/>
      <c r="I10" s="186"/>
      <c r="J10" s="777"/>
      <c r="K10" s="777"/>
      <c r="L10" s="777"/>
      <c r="M10" s="777"/>
      <c r="N10" s="777"/>
      <c r="O10" s="777"/>
    </row>
    <row r="11" s="203" customFormat="1" ht="6" customHeight="1"/>
    <row r="12" spans="6:14" s="203" customFormat="1" ht="18">
      <c r="F12" s="186" t="s">
        <v>141</v>
      </c>
      <c r="G12" s="184" t="str">
        <f>Mannschaften!H3</f>
        <v>M U14</v>
      </c>
      <c r="H12" s="186"/>
      <c r="I12" s="186" t="s">
        <v>118</v>
      </c>
      <c r="L12" s="188" t="str">
        <f>IF(Mannschaften!N3="","",Mannschaften!N3)</f>
        <v>01.07.</v>
      </c>
      <c r="M12" s="189">
        <f>IF(Mannschaften!O3="","",Mannschaften!O3)</f>
        <v>1999</v>
      </c>
      <c r="N12" s="186"/>
    </row>
    <row r="13" s="203" customFormat="1" ht="13.5" thickBot="1"/>
    <row r="14" spans="1:15" s="203" customFormat="1" ht="24.75" customHeight="1" thickBot="1">
      <c r="A14" s="190"/>
      <c r="B14" s="208" t="s">
        <v>89</v>
      </c>
      <c r="C14" s="208" t="s">
        <v>18</v>
      </c>
      <c r="D14" s="1085" t="s">
        <v>20</v>
      </c>
      <c r="E14" s="1085"/>
      <c r="F14" s="1085"/>
      <c r="G14" s="1085" t="s">
        <v>115</v>
      </c>
      <c r="H14" s="1085"/>
      <c r="I14" s="1085" t="s">
        <v>140</v>
      </c>
      <c r="J14" s="1085"/>
      <c r="K14" s="1085"/>
      <c r="L14" s="192" t="s">
        <v>116</v>
      </c>
      <c r="M14" s="192"/>
      <c r="N14" s="1085" t="s">
        <v>117</v>
      </c>
      <c r="O14" s="1085"/>
    </row>
    <row r="15" spans="1:15" s="203" customFormat="1" ht="24.75" customHeight="1">
      <c r="A15" s="193">
        <v>1</v>
      </c>
      <c r="B15" s="179"/>
      <c r="C15" s="179"/>
      <c r="D15" s="1072" t="s">
        <v>596</v>
      </c>
      <c r="E15" s="1073"/>
      <c r="F15" s="1074"/>
      <c r="G15" s="1075">
        <v>36442</v>
      </c>
      <c r="H15" s="1076"/>
      <c r="I15" s="1077">
        <v>8705</v>
      </c>
      <c r="J15" s="1078"/>
      <c r="K15" s="1079"/>
      <c r="L15" s="1080" t="s">
        <v>593</v>
      </c>
      <c r="M15" s="1081"/>
      <c r="N15" s="1058"/>
      <c r="O15" s="1059"/>
    </row>
    <row r="16" spans="1:15" s="203" customFormat="1" ht="24.75" customHeight="1">
      <c r="A16" s="194">
        <v>2</v>
      </c>
      <c r="B16" s="180"/>
      <c r="C16" s="180"/>
      <c r="D16" s="1060" t="s">
        <v>597</v>
      </c>
      <c r="E16" s="1061"/>
      <c r="F16" s="1062"/>
      <c r="G16" s="1063">
        <v>36398</v>
      </c>
      <c r="H16" s="1064"/>
      <c r="I16" s="1065">
        <v>8689</v>
      </c>
      <c r="J16" s="1066"/>
      <c r="K16" s="1067"/>
      <c r="L16" s="1068" t="s">
        <v>593</v>
      </c>
      <c r="M16" s="1069"/>
      <c r="N16" s="1070"/>
      <c r="O16" s="1071"/>
    </row>
    <row r="17" spans="1:15" s="203" customFormat="1" ht="24.75" customHeight="1">
      <c r="A17" s="194">
        <v>3</v>
      </c>
      <c r="B17" s="180"/>
      <c r="C17" s="180"/>
      <c r="D17" s="1060" t="s">
        <v>598</v>
      </c>
      <c r="E17" s="1061"/>
      <c r="F17" s="1062"/>
      <c r="G17" s="1063">
        <v>36929</v>
      </c>
      <c r="H17" s="1064"/>
      <c r="I17" s="1065">
        <v>5426</v>
      </c>
      <c r="J17" s="1066"/>
      <c r="K17" s="1067"/>
      <c r="L17" s="1068" t="s">
        <v>602</v>
      </c>
      <c r="M17" s="1069"/>
      <c r="N17" s="1070"/>
      <c r="O17" s="1071"/>
    </row>
    <row r="18" spans="1:15" s="203" customFormat="1" ht="24.75" customHeight="1">
      <c r="A18" s="194">
        <v>4</v>
      </c>
      <c r="B18" s="180"/>
      <c r="C18" s="180"/>
      <c r="D18" s="1060" t="s">
        <v>599</v>
      </c>
      <c r="E18" s="1061"/>
      <c r="F18" s="1062"/>
      <c r="G18" s="1063">
        <v>37826</v>
      </c>
      <c r="H18" s="1064"/>
      <c r="I18" s="1065">
        <v>5263</v>
      </c>
      <c r="J18" s="1066"/>
      <c r="K18" s="1067"/>
      <c r="L18" s="1068" t="s">
        <v>592</v>
      </c>
      <c r="M18" s="1069"/>
      <c r="N18" s="1070"/>
      <c r="O18" s="1071"/>
    </row>
    <row r="19" spans="1:15" s="203" customFormat="1" ht="24.75" customHeight="1">
      <c r="A19" s="194">
        <v>5</v>
      </c>
      <c r="B19" s="180"/>
      <c r="C19" s="180"/>
      <c r="D19" s="1060" t="s">
        <v>600</v>
      </c>
      <c r="E19" s="1061"/>
      <c r="F19" s="1062"/>
      <c r="G19" s="1063">
        <v>37826</v>
      </c>
      <c r="H19" s="1064"/>
      <c r="I19" s="1065">
        <v>5264</v>
      </c>
      <c r="J19" s="1066"/>
      <c r="K19" s="1067"/>
      <c r="L19" s="1068" t="s">
        <v>592</v>
      </c>
      <c r="M19" s="1069"/>
      <c r="N19" s="1070"/>
      <c r="O19" s="1071"/>
    </row>
    <row r="20" spans="1:15" s="203" customFormat="1" ht="24.75" customHeight="1">
      <c r="A20" s="194">
        <v>6</v>
      </c>
      <c r="B20" s="180"/>
      <c r="C20" s="180"/>
      <c r="D20" s="1060" t="s">
        <v>601</v>
      </c>
      <c r="E20" s="1061"/>
      <c r="F20" s="1062"/>
      <c r="G20" s="1063">
        <v>37965</v>
      </c>
      <c r="H20" s="1064"/>
      <c r="I20" s="1065">
        <v>5642</v>
      </c>
      <c r="J20" s="1066"/>
      <c r="K20" s="1067"/>
      <c r="L20" s="1068" t="s">
        <v>603</v>
      </c>
      <c r="M20" s="1069"/>
      <c r="N20" s="1070"/>
      <c r="O20" s="1071"/>
    </row>
    <row r="21" spans="1:15" s="203" customFormat="1" ht="24.75" customHeight="1">
      <c r="A21" s="194">
        <v>7</v>
      </c>
      <c r="B21" s="180"/>
      <c r="C21" s="180"/>
      <c r="D21" s="1060"/>
      <c r="E21" s="1061"/>
      <c r="F21" s="1062"/>
      <c r="G21" s="1063"/>
      <c r="H21" s="1064"/>
      <c r="I21" s="1065"/>
      <c r="J21" s="1066"/>
      <c r="K21" s="1067"/>
      <c r="L21" s="1068"/>
      <c r="M21" s="1069"/>
      <c r="N21" s="1070"/>
      <c r="O21" s="1071"/>
    </row>
    <row r="22" spans="1:15" s="203" customFormat="1" ht="24.75" customHeight="1">
      <c r="A22" s="194">
        <v>8</v>
      </c>
      <c r="B22" s="180"/>
      <c r="C22" s="180"/>
      <c r="D22" s="1060"/>
      <c r="E22" s="1061"/>
      <c r="F22" s="1062"/>
      <c r="G22" s="1063"/>
      <c r="H22" s="1064"/>
      <c r="I22" s="1065"/>
      <c r="J22" s="1066"/>
      <c r="K22" s="1067"/>
      <c r="L22" s="1068"/>
      <c r="M22" s="1069"/>
      <c r="N22" s="1070"/>
      <c r="O22" s="1071"/>
    </row>
    <row r="23" spans="1:15" s="203" customFormat="1" ht="24.75" customHeight="1">
      <c r="A23" s="194">
        <v>9</v>
      </c>
      <c r="B23" s="180"/>
      <c r="C23" s="180"/>
      <c r="D23" s="1060"/>
      <c r="E23" s="1061"/>
      <c r="F23" s="1062"/>
      <c r="G23" s="1063"/>
      <c r="H23" s="1064"/>
      <c r="I23" s="1065"/>
      <c r="J23" s="1066"/>
      <c r="K23" s="1067"/>
      <c r="L23" s="1068"/>
      <c r="M23" s="1069"/>
      <c r="N23" s="1070"/>
      <c r="O23" s="1071"/>
    </row>
    <row r="24" spans="1:15" s="203" customFormat="1" ht="24.75" customHeight="1" thickBot="1">
      <c r="A24" s="195">
        <v>10</v>
      </c>
      <c r="B24" s="181"/>
      <c r="C24" s="181"/>
      <c r="D24" s="1086"/>
      <c r="E24" s="1087"/>
      <c r="F24" s="1088"/>
      <c r="G24" s="1089"/>
      <c r="H24" s="1090"/>
      <c r="I24" s="1091"/>
      <c r="J24" s="1092"/>
      <c r="K24" s="1093"/>
      <c r="L24" s="1094"/>
      <c r="M24" s="1095"/>
      <c r="N24" s="1096"/>
      <c r="O24" s="1097"/>
    </row>
    <row r="25" spans="1:15" s="203" customFormat="1" ht="24.75" customHeight="1">
      <c r="A25" s="196" t="s">
        <v>39</v>
      </c>
      <c r="B25" s="179"/>
      <c r="C25" s="179"/>
      <c r="D25" s="1072" t="s">
        <v>604</v>
      </c>
      <c r="E25" s="1073"/>
      <c r="F25" s="1074"/>
      <c r="G25" s="1075"/>
      <c r="H25" s="1076"/>
      <c r="I25" s="1103"/>
      <c r="J25" s="1104"/>
      <c r="K25" s="1105"/>
      <c r="L25" s="1106"/>
      <c r="M25" s="1107"/>
      <c r="N25" s="1058"/>
      <c r="O25" s="1059"/>
    </row>
    <row r="26" spans="1:15" s="203" customFormat="1" ht="24.75" customHeight="1" thickBot="1">
      <c r="A26" s="197" t="s">
        <v>40</v>
      </c>
      <c r="B26" s="181"/>
      <c r="C26" s="181"/>
      <c r="D26" s="1086" t="s">
        <v>605</v>
      </c>
      <c r="E26" s="1087"/>
      <c r="F26" s="1088"/>
      <c r="G26" s="1089"/>
      <c r="H26" s="1090"/>
      <c r="I26" s="1098"/>
      <c r="J26" s="1099"/>
      <c r="K26" s="1100"/>
      <c r="L26" s="1101"/>
      <c r="M26" s="1102"/>
      <c r="N26" s="1096"/>
      <c r="O26" s="1097"/>
    </row>
    <row r="27" spans="1:15" s="203" customFormat="1" ht="24.75" customHeight="1" thickBot="1">
      <c r="A27" s="446" t="s">
        <v>231</v>
      </c>
      <c r="B27" s="447"/>
      <c r="C27" s="447"/>
      <c r="D27" s="447"/>
      <c r="E27" s="447"/>
      <c r="F27" s="448"/>
      <c r="G27" s="449">
        <f>G65</f>
        <v>12.221917808219176</v>
      </c>
      <c r="H27" s="249" t="s">
        <v>232</v>
      </c>
      <c r="I27" s="447"/>
      <c r="J27" s="447"/>
      <c r="K27" s="447"/>
      <c r="L27" s="447"/>
      <c r="M27" s="447"/>
      <c r="N27" s="447"/>
      <c r="O27" s="448"/>
    </row>
    <row r="28" spans="11:13" ht="12.75" hidden="1">
      <c r="K28" s="182">
        <f>IF(L12="31.12.",31,IF(L12="01.01.",1,IF(L12="01.07.",1,30)))</f>
        <v>1</v>
      </c>
      <c r="L28" s="182">
        <f>IF(L12="31.12.",12,IF(L12="01.01.",1,IF(L12="01.07.",7,6)))</f>
        <v>7</v>
      </c>
      <c r="M28" s="182">
        <f>M12</f>
        <v>1999</v>
      </c>
    </row>
    <row r="29" spans="4:15" ht="12.75" hidden="1">
      <c r="D29" s="183">
        <f>IF(G15="","",G15)</f>
        <v>36442</v>
      </c>
      <c r="E29" s="183">
        <f>IF(D29="","",D29+1)</f>
        <v>36443</v>
      </c>
      <c r="F29" s="182">
        <f>IF(D29="","",DAY(D29))</f>
        <v>9</v>
      </c>
      <c r="G29" s="182">
        <f>IF(D29="","",MONTH(D29))</f>
        <v>10</v>
      </c>
      <c r="H29" s="178">
        <f>IF(D29="","",YEAR(D29))</f>
        <v>1999</v>
      </c>
      <c r="K29" s="178">
        <f>IF(D29="","",$K$28-F29)</f>
        <v>-8</v>
      </c>
      <c r="L29" s="178">
        <f>IF(D29="","",$L$28-G29)</f>
        <v>-3</v>
      </c>
      <c r="M29" s="178">
        <f>IF(D29="","",$M$28-H29)</f>
        <v>0</v>
      </c>
      <c r="N29" s="178">
        <f>K29+(L29*100)+(M29*10000)</f>
        <v>-308</v>
      </c>
      <c r="O29" s="178">
        <f>IF(Mannschaften!H$3=Mannschaften!K$166,N29,IF(Mannschaften!H$3=Mannschaften!K$167,N29,IF(Mannschaften!H$3=Mannschaften!K$168,N29,IF(Mannschaften!H$3=Mannschaften!K$169,N29,IF(Mannschaften!H$3=Mannschaften!K$170,N29,N29*-1)))))</f>
        <v>308</v>
      </c>
    </row>
    <row r="30" spans="4:15" ht="12.75" hidden="1">
      <c r="D30" s="183">
        <f aca="true" t="shared" si="0" ref="D30:D38">IF(G16="","",G16)</f>
        <v>36398</v>
      </c>
      <c r="E30" s="183">
        <f aca="true" t="shared" si="1" ref="E30:E38">IF(D30="","",D30+1)</f>
        <v>36399</v>
      </c>
      <c r="F30" s="182">
        <f aca="true" t="shared" si="2" ref="F30:F38">IF(D30="","",DAY(D30))</f>
        <v>26</v>
      </c>
      <c r="G30" s="182">
        <f aca="true" t="shared" si="3" ref="G30:G38">IF(D30="","",MONTH(D30))</f>
        <v>8</v>
      </c>
      <c r="H30" s="178">
        <f aca="true" t="shared" si="4" ref="H30:H38">IF(D30="","",YEAR(D30))</f>
        <v>1999</v>
      </c>
      <c r="K30" s="178">
        <f aca="true" t="shared" si="5" ref="K30:K35">IF(D30="","",$K$28-F30)</f>
        <v>-25</v>
      </c>
      <c r="L30" s="178">
        <f aca="true" t="shared" si="6" ref="L30:L35">IF(D30="","",$L$28-G30)</f>
        <v>-1</v>
      </c>
      <c r="M30" s="178">
        <f aca="true" t="shared" si="7" ref="M30:M35">IF(D30="","",$M$28-H30)</f>
        <v>0</v>
      </c>
      <c r="N30" s="178">
        <f aca="true" t="shared" si="8" ref="N30:N35">K30+(L30*100)+(M30*10000)</f>
        <v>-125</v>
      </c>
      <c r="O30" s="178">
        <f>IF(Mannschaften!H$3=Mannschaften!K$166,N30,IF(Mannschaften!H$3=Mannschaften!K$167,N30,IF(Mannschaften!H$3=Mannschaften!K$168,N30,IF(Mannschaften!H$3=Mannschaften!K$169,N30,IF(Mannschaften!H$3=Mannschaften!K$170,N30,N30*-1)))))</f>
        <v>125</v>
      </c>
    </row>
    <row r="31" spans="4:15" ht="12.75" hidden="1">
      <c r="D31" s="183">
        <f t="shared" si="0"/>
        <v>36929</v>
      </c>
      <c r="E31" s="183">
        <f t="shared" si="1"/>
        <v>36930</v>
      </c>
      <c r="F31" s="182">
        <f t="shared" si="2"/>
        <v>7</v>
      </c>
      <c r="G31" s="182">
        <f t="shared" si="3"/>
        <v>2</v>
      </c>
      <c r="H31" s="178">
        <f t="shared" si="4"/>
        <v>2001</v>
      </c>
      <c r="K31" s="178">
        <f t="shared" si="5"/>
        <v>-6</v>
      </c>
      <c r="L31" s="178">
        <f t="shared" si="6"/>
        <v>5</v>
      </c>
      <c r="M31" s="178">
        <f t="shared" si="7"/>
        <v>-2</v>
      </c>
      <c r="N31" s="178">
        <f t="shared" si="8"/>
        <v>-19506</v>
      </c>
      <c r="O31" s="178">
        <f>IF(Mannschaften!H$3=Mannschaften!K$166,N31,IF(Mannschaften!H$3=Mannschaften!K$167,N31,IF(Mannschaften!H$3=Mannschaften!K$168,N31,IF(Mannschaften!H$3=Mannschaften!K$169,N31,IF(Mannschaften!H$3=Mannschaften!K$170,N31,N31*-1)))))</f>
        <v>19506</v>
      </c>
    </row>
    <row r="32" spans="4:15" ht="12.75" hidden="1">
      <c r="D32" s="183">
        <f t="shared" si="0"/>
        <v>37826</v>
      </c>
      <c r="E32" s="183">
        <f t="shared" si="1"/>
        <v>37827</v>
      </c>
      <c r="F32" s="182">
        <f t="shared" si="2"/>
        <v>24</v>
      </c>
      <c r="G32" s="182">
        <f t="shared" si="3"/>
        <v>7</v>
      </c>
      <c r="H32" s="178">
        <f t="shared" si="4"/>
        <v>2003</v>
      </c>
      <c r="K32" s="178">
        <f t="shared" si="5"/>
        <v>-23</v>
      </c>
      <c r="L32" s="178">
        <f t="shared" si="6"/>
        <v>0</v>
      </c>
      <c r="M32" s="178">
        <f t="shared" si="7"/>
        <v>-4</v>
      </c>
      <c r="N32" s="178">
        <f t="shared" si="8"/>
        <v>-40023</v>
      </c>
      <c r="O32" s="178">
        <f>IF(Mannschaften!H$3=Mannschaften!K$166,N32,IF(Mannschaften!H$3=Mannschaften!K$167,N32,IF(Mannschaften!H$3=Mannschaften!K$168,N32,IF(Mannschaften!H$3=Mannschaften!K$169,N32,IF(Mannschaften!H$3=Mannschaften!K$170,N32,N32*-1)))))</f>
        <v>40023</v>
      </c>
    </row>
    <row r="33" spans="4:15" ht="12.75" hidden="1">
      <c r="D33" s="183">
        <f t="shared" si="0"/>
        <v>37826</v>
      </c>
      <c r="E33" s="183">
        <f t="shared" si="1"/>
        <v>37827</v>
      </c>
      <c r="F33" s="182">
        <f t="shared" si="2"/>
        <v>24</v>
      </c>
      <c r="G33" s="182">
        <f t="shared" si="3"/>
        <v>7</v>
      </c>
      <c r="H33" s="178">
        <f t="shared" si="4"/>
        <v>2003</v>
      </c>
      <c r="K33" s="178">
        <f t="shared" si="5"/>
        <v>-23</v>
      </c>
      <c r="L33" s="178">
        <f t="shared" si="6"/>
        <v>0</v>
      </c>
      <c r="M33" s="178">
        <f t="shared" si="7"/>
        <v>-4</v>
      </c>
      <c r="N33" s="178">
        <f t="shared" si="8"/>
        <v>-40023</v>
      </c>
      <c r="O33" s="178">
        <f>IF(Mannschaften!H$3=Mannschaften!K$166,N33,IF(Mannschaften!H$3=Mannschaften!K$167,N33,IF(Mannschaften!H$3=Mannschaften!K$168,N33,IF(Mannschaften!H$3=Mannschaften!K$169,N33,IF(Mannschaften!H$3=Mannschaften!K$170,N33,N33*-1)))))</f>
        <v>40023</v>
      </c>
    </row>
    <row r="34" spans="4:15" ht="12.75" hidden="1">
      <c r="D34" s="183">
        <f>IF(G20="","",G20)</f>
        <v>37965</v>
      </c>
      <c r="E34" s="183">
        <f t="shared" si="1"/>
        <v>37966</v>
      </c>
      <c r="F34" s="182">
        <f t="shared" si="2"/>
        <v>10</v>
      </c>
      <c r="G34" s="182">
        <f t="shared" si="3"/>
        <v>12</v>
      </c>
      <c r="H34" s="178">
        <f t="shared" si="4"/>
        <v>2003</v>
      </c>
      <c r="K34" s="178">
        <f t="shared" si="5"/>
        <v>-9</v>
      </c>
      <c r="L34" s="178">
        <f t="shared" si="6"/>
        <v>-5</v>
      </c>
      <c r="M34" s="178">
        <f t="shared" si="7"/>
        <v>-4</v>
      </c>
      <c r="N34" s="178">
        <f t="shared" si="8"/>
        <v>-40509</v>
      </c>
      <c r="O34" s="178">
        <f>IF(Mannschaften!H$3=Mannschaften!K$166,N34,IF(Mannschaften!H$3=Mannschaften!K$167,N34,IF(Mannschaften!H$3=Mannschaften!K$168,N34,IF(Mannschaften!H$3=Mannschaften!K$169,N34,IF(Mannschaften!H$3=Mannschaften!K$170,N34,N34*-1)))))</f>
        <v>40509</v>
      </c>
    </row>
    <row r="35" spans="4:15" ht="12.75" hidden="1">
      <c r="D35" s="183">
        <f>IF(G21="","",G21)</f>
      </c>
      <c r="E35" s="183">
        <f t="shared" si="1"/>
      </c>
      <c r="F35" s="182">
        <f t="shared" si="2"/>
      </c>
      <c r="G35" s="182">
        <f t="shared" si="3"/>
      </c>
      <c r="H35" s="178">
        <f t="shared" si="4"/>
      </c>
      <c r="K35" s="178">
        <f t="shared" si="5"/>
      </c>
      <c r="L35" s="178">
        <f t="shared" si="6"/>
      </c>
      <c r="M35" s="178">
        <f t="shared" si="7"/>
      </c>
      <c r="N35" s="178" t="e">
        <f t="shared" si="8"/>
        <v>#VALUE!</v>
      </c>
      <c r="O35" s="178" t="e">
        <f>IF(Mannschaften!H$3=Mannschaften!K$166,N35,IF(Mannschaften!H$3=Mannschaften!K$167,N35,IF(Mannschaften!H$3=Mannschaften!K$168,N35,IF(Mannschaften!H$3=Mannschaften!K$169,N35,IF(Mannschaften!H$3=Mannschaften!K$170,N35,N35*-1)))))</f>
        <v>#VALUE!</v>
      </c>
    </row>
    <row r="36" spans="4:15" ht="12.75" hidden="1">
      <c r="D36" s="183">
        <f t="shared" si="0"/>
      </c>
      <c r="E36" s="183">
        <f t="shared" si="1"/>
      </c>
      <c r="F36" s="182">
        <f t="shared" si="2"/>
      </c>
      <c r="G36" s="182">
        <f t="shared" si="3"/>
      </c>
      <c r="H36" s="178">
        <f t="shared" si="4"/>
      </c>
      <c r="K36" s="178">
        <f>IF(D36="","",$K$28-F36)</f>
      </c>
      <c r="L36" s="178">
        <f>IF(D36="","",$L$28-G36)</f>
      </c>
      <c r="M36" s="178">
        <f>IF(D36="","",$M$28-H36)</f>
      </c>
      <c r="N36" s="178" t="e">
        <f>K36+(L36*100)+(M36*10000)</f>
        <v>#VALUE!</v>
      </c>
      <c r="O36" s="178" t="e">
        <f>IF(Mannschaften!H$3=Mannschaften!K$166,N36,IF(Mannschaften!H$3=Mannschaften!K$167,N36,IF(Mannschaften!H$3=Mannschaften!K$168,N36,IF(Mannschaften!H$3=Mannschaften!K$169,N36,IF(Mannschaften!H$3=Mannschaften!K$170,N36,N36*-1)))))</f>
        <v>#VALUE!</v>
      </c>
    </row>
    <row r="37" spans="4:15" ht="12.75" hidden="1">
      <c r="D37" s="183">
        <f t="shared" si="0"/>
      </c>
      <c r="E37" s="183">
        <f t="shared" si="1"/>
      </c>
      <c r="F37" s="182">
        <f t="shared" si="2"/>
      </c>
      <c r="G37" s="182">
        <f t="shared" si="3"/>
      </c>
      <c r="H37" s="178">
        <f t="shared" si="4"/>
      </c>
      <c r="K37" s="178">
        <f>IF(D37="","",$K$28-F37)</f>
      </c>
      <c r="L37" s="178">
        <f>IF(D37="","",$L$28-G37)</f>
      </c>
      <c r="M37" s="178">
        <f>IF(D37="","",$M$28-H37)</f>
      </c>
      <c r="N37" s="178" t="e">
        <f>K37+(L37*100)+(M37*10000)</f>
        <v>#VALUE!</v>
      </c>
      <c r="O37" s="178" t="e">
        <f>IF(Mannschaften!H$3=Mannschaften!K$166,N37,IF(Mannschaften!H$3=Mannschaften!K$167,N37,IF(Mannschaften!H$3=Mannschaften!K$168,N37,IF(Mannschaften!H$3=Mannschaften!K$169,N37,IF(Mannschaften!H$3=Mannschaften!K$170,N37,N37*-1)))))</f>
        <v>#VALUE!</v>
      </c>
    </row>
    <row r="38" spans="4:15" ht="12.75" hidden="1">
      <c r="D38" s="183">
        <f t="shared" si="0"/>
      </c>
      <c r="E38" s="183">
        <f t="shared" si="1"/>
      </c>
      <c r="F38" s="182">
        <f t="shared" si="2"/>
      </c>
      <c r="G38" s="182">
        <f t="shared" si="3"/>
      </c>
      <c r="H38" s="178">
        <f t="shared" si="4"/>
      </c>
      <c r="K38" s="178">
        <f>IF(D38="","",$K$28-F38)</f>
      </c>
      <c r="L38" s="178">
        <f>IF(D38="","",$L$28-G38)</f>
      </c>
      <c r="M38" s="178">
        <f>IF(D38="","",$M$28-H38)</f>
      </c>
      <c r="N38" s="178" t="e">
        <f>K38+(L38*100)+(M38*10000)</f>
        <v>#VALUE!</v>
      </c>
      <c r="O38" s="178" t="e">
        <f>IF(Mannschaften!H$3=Mannschaften!K$166,N38,IF(Mannschaften!H$3=Mannschaften!K$167,N38,IF(Mannschaften!H$3=Mannschaften!K$168,N38,IF(Mannschaften!H$3=Mannschaften!K$169,N38,IF(Mannschaften!H$3=Mannschaften!K$170,N38,N38*-1)))))</f>
        <v>#VALUE!</v>
      </c>
    </row>
    <row r="39" ht="12.75" hidden="1"/>
    <row r="40" spans="4:9" ht="12.75" hidden="1">
      <c r="D40" s="178">
        <f>DAY(Mannschaften!K4)</f>
        <v>22</v>
      </c>
      <c r="E40" s="178">
        <f>MONTH(Mannschaften!K4)</f>
        <v>2</v>
      </c>
      <c r="H40" s="178">
        <f>DAY(Mannschaften!M4)</f>
        <v>23</v>
      </c>
      <c r="I40" s="178">
        <f>MONTH(Mannschaften!M4)</f>
        <v>2</v>
      </c>
    </row>
    <row r="41" spans="4:11" ht="12.75" hidden="1">
      <c r="D41" s="182">
        <f>IF($D$40=F29,1,0)</f>
        <v>0</v>
      </c>
      <c r="E41" s="182">
        <f>IF($E$40=G29,1,0)</f>
        <v>0</v>
      </c>
      <c r="F41" s="182"/>
      <c r="G41" s="182">
        <f>D41+E41</f>
        <v>0</v>
      </c>
      <c r="H41" s="182">
        <f>IF($H$40=F29,1,0)</f>
        <v>0</v>
      </c>
      <c r="I41" s="182">
        <f>IF($I$40=G29,1,0)</f>
        <v>0</v>
      </c>
      <c r="K41" s="182">
        <f>H41+I41</f>
        <v>0</v>
      </c>
    </row>
    <row r="42" spans="4:11" ht="12.75" hidden="1">
      <c r="D42" s="182">
        <f aca="true" t="shared" si="9" ref="D42:D50">IF($D$40=F30,1,0)</f>
        <v>0</v>
      </c>
      <c r="E42" s="182">
        <f aca="true" t="shared" si="10" ref="E42:E50">IF($E$40=G30,1,0)</f>
        <v>0</v>
      </c>
      <c r="F42" s="182"/>
      <c r="G42" s="182">
        <f aca="true" t="shared" si="11" ref="G42:G50">D42+E42</f>
        <v>0</v>
      </c>
      <c r="H42" s="182">
        <f aca="true" t="shared" si="12" ref="H42:H50">IF($H$40=F30,1,0)</f>
        <v>0</v>
      </c>
      <c r="I42" s="182">
        <f aca="true" t="shared" si="13" ref="I42:I50">IF($I$40=G30,1,0)</f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1</v>
      </c>
      <c r="F43" s="182"/>
      <c r="G43" s="182">
        <f t="shared" si="11"/>
        <v>1</v>
      </c>
      <c r="H43" s="182">
        <f t="shared" si="12"/>
        <v>0</v>
      </c>
      <c r="I43" s="182">
        <f t="shared" si="13"/>
        <v>1</v>
      </c>
      <c r="K43" s="182">
        <f t="shared" si="14"/>
        <v>1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1"/>
        <v>0</v>
      </c>
      <c r="H44" s="182">
        <f t="shared" si="12"/>
        <v>0</v>
      </c>
      <c r="I44" s="182">
        <f t="shared" si="13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1"/>
        <v>0</v>
      </c>
      <c r="H45" s="182">
        <f t="shared" si="12"/>
        <v>0</v>
      </c>
      <c r="I45" s="182">
        <f t="shared" si="13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1"/>
        <v>0</v>
      </c>
      <c r="H46" s="182">
        <f t="shared" si="12"/>
        <v>0</v>
      </c>
      <c r="I46" s="182">
        <f t="shared" si="13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1"/>
        <v>0</v>
      </c>
      <c r="H47" s="182">
        <f t="shared" si="12"/>
        <v>0</v>
      </c>
      <c r="I47" s="182">
        <f t="shared" si="13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1"/>
        <v>0</v>
      </c>
      <c r="H48" s="182">
        <f t="shared" si="12"/>
        <v>0</v>
      </c>
      <c r="I48" s="182">
        <f t="shared" si="13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1"/>
        <v>0</v>
      </c>
      <c r="H49" s="182">
        <f t="shared" si="12"/>
        <v>0</v>
      </c>
      <c r="I49" s="182">
        <f t="shared" si="13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1"/>
        <v>0</v>
      </c>
      <c r="H50" s="182">
        <f t="shared" si="12"/>
        <v>0</v>
      </c>
      <c r="I50" s="182">
        <f t="shared" si="13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  <v>5250</v>
      </c>
      <c r="H54" s="178">
        <f>IF(G54="",0,1)</f>
        <v>1</v>
      </c>
    </row>
    <row r="55" spans="7:8" ht="12.75" hidden="1">
      <c r="G55" s="182">
        <f aca="true" t="shared" si="15" ref="G55:G63">IF(G16="","",I$4-G16)</f>
        <v>5294</v>
      </c>
      <c r="H55" s="178">
        <f aca="true" t="shared" si="16" ref="H55:H63">IF(G55="",0,1)</f>
        <v>1</v>
      </c>
    </row>
    <row r="56" spans="7:8" ht="12.75" hidden="1">
      <c r="G56" s="182">
        <f t="shared" si="15"/>
        <v>4763</v>
      </c>
      <c r="H56" s="178">
        <f t="shared" si="16"/>
        <v>1</v>
      </c>
    </row>
    <row r="57" spans="7:8" ht="12.75" hidden="1">
      <c r="G57" s="182">
        <f t="shared" si="15"/>
        <v>3866</v>
      </c>
      <c r="H57" s="178">
        <f t="shared" si="16"/>
        <v>1</v>
      </c>
    </row>
    <row r="58" spans="7:8" ht="12.75" hidden="1">
      <c r="G58" s="182">
        <f t="shared" si="15"/>
        <v>3866</v>
      </c>
      <c r="H58" s="178">
        <f t="shared" si="16"/>
        <v>1</v>
      </c>
    </row>
    <row r="59" spans="7:8" ht="12.75" hidden="1">
      <c r="G59" s="182">
        <f t="shared" si="15"/>
        <v>3727</v>
      </c>
      <c r="H59" s="178">
        <f t="shared" si="16"/>
        <v>1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6</v>
      </c>
    </row>
    <row r="65" ht="12.75" hidden="1">
      <c r="G65" s="248">
        <f>IF(H64=0,"",SUM(G54:G63)/365/H64)</f>
        <v>12.221917808219176</v>
      </c>
    </row>
    <row r="66" ht="12.75" hidden="1"/>
  </sheetData>
  <sheetProtection sheet="1" objects="1" scenarios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1" stopIfTrue="1">
      <formula>$G41=2</formula>
    </cfRule>
    <cfRule type="expression" priority="2" dxfId="1" stopIfTrue="1">
      <formula>$K41=2</formula>
    </cfRule>
    <cfRule type="expression" priority="3" dxfId="0" stopIfTrue="1">
      <formula>$O29&lt;0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Z65"/>
  <sheetViews>
    <sheetView zoomScalePageLayoutView="0" workbookViewId="0" topLeftCell="A7">
      <selection activeCell="L22" sqref="L22:M22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11" t="s">
        <v>112</v>
      </c>
      <c r="F1" s="811"/>
      <c r="G1" s="811"/>
      <c r="H1" s="811"/>
      <c r="I1" s="811"/>
      <c r="J1" s="811"/>
      <c r="K1" s="811"/>
      <c r="L1" s="811"/>
      <c r="M1" s="811"/>
    </row>
    <row r="2" spans="5:13" s="203" customFormat="1" ht="21" customHeight="1">
      <c r="E2" s="1056" t="str">
        <f>IF(Mannschaften!D2="","",Mannschaften!D2)</f>
        <v>Ostdeutsche Meisterschaft der männl. Jugend 14 Halle 13/14</v>
      </c>
      <c r="F2" s="1056"/>
      <c r="G2" s="1056"/>
      <c r="H2" s="1056"/>
      <c r="I2" s="1056"/>
      <c r="J2" s="1056"/>
      <c r="K2" s="1056"/>
      <c r="L2" s="1056"/>
      <c r="M2" s="1056"/>
    </row>
    <row r="3" s="203" customFormat="1" ht="13.5" customHeight="1"/>
    <row r="4" spans="4:26" s="203" customFormat="1" ht="23.25" customHeight="1">
      <c r="D4" s="204"/>
      <c r="E4" s="777" t="str">
        <f>IF(Mannschaften!F4="","",Mannschaften!F4)</f>
        <v>Berlin</v>
      </c>
      <c r="F4" s="777"/>
      <c r="G4" s="777"/>
      <c r="H4" s="777"/>
      <c r="I4" s="185">
        <f>Mannschaften!K4</f>
        <v>41692</v>
      </c>
      <c r="J4" s="205" t="s">
        <v>92</v>
      </c>
      <c r="K4" s="185">
        <f>Mannschaften!M4</f>
        <v>41693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Berliner Turnerschaft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1057" t="s">
        <v>114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  <c r="N8" s="1057"/>
      <c r="O8" s="1057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1055" t="str">
        <f>Mannschaften!C145</f>
        <v>TSV LoLa</v>
      </c>
      <c r="E10" s="1055"/>
      <c r="F10" s="1055"/>
      <c r="G10" s="1055"/>
      <c r="H10" s="1055"/>
      <c r="I10" s="186"/>
      <c r="J10" s="777"/>
      <c r="K10" s="777"/>
      <c r="L10" s="777"/>
      <c r="M10" s="777"/>
      <c r="N10" s="777"/>
      <c r="O10" s="777"/>
    </row>
    <row r="11" s="203" customFormat="1" ht="6" customHeight="1"/>
    <row r="12" spans="6:14" s="203" customFormat="1" ht="18">
      <c r="F12" s="186" t="s">
        <v>141</v>
      </c>
      <c r="G12" s="184" t="str">
        <f>Mannschaften!H3</f>
        <v>M U14</v>
      </c>
      <c r="H12" s="186"/>
      <c r="I12" s="186" t="s">
        <v>118</v>
      </c>
      <c r="L12" s="188" t="str">
        <f>IF(Mannschaften!N3="","",Mannschaften!N3)</f>
        <v>01.07.</v>
      </c>
      <c r="M12" s="189">
        <f>IF(Mannschaften!O3="","",Mannschaften!O3)</f>
        <v>1999</v>
      </c>
      <c r="N12" s="186"/>
    </row>
    <row r="13" s="203" customFormat="1" ht="13.5" thickBot="1"/>
    <row r="14" spans="1:15" s="203" customFormat="1" ht="24.75" customHeight="1" thickBot="1">
      <c r="A14" s="190"/>
      <c r="B14" s="208" t="s">
        <v>89</v>
      </c>
      <c r="C14" s="208" t="s">
        <v>18</v>
      </c>
      <c r="D14" s="1085" t="s">
        <v>20</v>
      </c>
      <c r="E14" s="1085"/>
      <c r="F14" s="1085"/>
      <c r="G14" s="1085" t="s">
        <v>115</v>
      </c>
      <c r="H14" s="1085"/>
      <c r="I14" s="1085" t="s">
        <v>140</v>
      </c>
      <c r="J14" s="1085"/>
      <c r="K14" s="1085"/>
      <c r="L14" s="192" t="s">
        <v>116</v>
      </c>
      <c r="M14" s="192"/>
      <c r="N14" s="1085" t="s">
        <v>117</v>
      </c>
      <c r="O14" s="1085"/>
    </row>
    <row r="15" spans="1:15" s="203" customFormat="1" ht="24.75" customHeight="1">
      <c r="A15" s="193">
        <v>1</v>
      </c>
      <c r="B15" s="179"/>
      <c r="C15" s="179"/>
      <c r="D15" s="1072" t="s">
        <v>606</v>
      </c>
      <c r="E15" s="1073"/>
      <c r="F15" s="1074"/>
      <c r="G15" s="1075">
        <v>37131</v>
      </c>
      <c r="H15" s="1076"/>
      <c r="I15" s="1077" t="s">
        <v>639</v>
      </c>
      <c r="J15" s="1078"/>
      <c r="K15" s="1079"/>
      <c r="L15" s="1080" t="s">
        <v>595</v>
      </c>
      <c r="M15" s="1081"/>
      <c r="N15" s="1058"/>
      <c r="O15" s="1059"/>
    </row>
    <row r="16" spans="1:15" s="203" customFormat="1" ht="24.75" customHeight="1">
      <c r="A16" s="194">
        <v>2</v>
      </c>
      <c r="B16" s="180"/>
      <c r="C16" s="180"/>
      <c r="D16" s="1060" t="s">
        <v>607</v>
      </c>
      <c r="E16" s="1061"/>
      <c r="F16" s="1062"/>
      <c r="G16" s="1063">
        <v>36388</v>
      </c>
      <c r="H16" s="1064"/>
      <c r="I16" s="1065" t="s">
        <v>640</v>
      </c>
      <c r="J16" s="1066"/>
      <c r="K16" s="1067"/>
      <c r="L16" s="1068" t="s">
        <v>646</v>
      </c>
      <c r="M16" s="1069"/>
      <c r="N16" s="1070"/>
      <c r="O16" s="1071"/>
    </row>
    <row r="17" spans="1:15" s="203" customFormat="1" ht="24.75" customHeight="1">
      <c r="A17" s="194">
        <v>3</v>
      </c>
      <c r="B17" s="180"/>
      <c r="C17" s="180"/>
      <c r="D17" s="1060" t="s">
        <v>608</v>
      </c>
      <c r="E17" s="1061"/>
      <c r="F17" s="1062"/>
      <c r="G17" s="1063">
        <v>36594</v>
      </c>
      <c r="H17" s="1064"/>
      <c r="I17" s="1065" t="s">
        <v>641</v>
      </c>
      <c r="J17" s="1066"/>
      <c r="K17" s="1067"/>
      <c r="L17" s="1068" t="s">
        <v>593</v>
      </c>
      <c r="M17" s="1069"/>
      <c r="N17" s="1070"/>
      <c r="O17" s="1071"/>
    </row>
    <row r="18" spans="1:15" s="203" customFormat="1" ht="24.75" customHeight="1">
      <c r="A18" s="194">
        <v>4</v>
      </c>
      <c r="B18" s="180"/>
      <c r="C18" s="180"/>
      <c r="D18" s="1060" t="s">
        <v>609</v>
      </c>
      <c r="E18" s="1061"/>
      <c r="F18" s="1062"/>
      <c r="G18" s="1063">
        <v>37413</v>
      </c>
      <c r="H18" s="1064"/>
      <c r="I18" s="1065" t="s">
        <v>642</v>
      </c>
      <c r="J18" s="1066"/>
      <c r="K18" s="1067"/>
      <c r="L18" s="1068" t="s">
        <v>593</v>
      </c>
      <c r="M18" s="1069"/>
      <c r="N18" s="1070"/>
      <c r="O18" s="1071"/>
    </row>
    <row r="19" spans="1:15" s="203" customFormat="1" ht="24.75" customHeight="1">
      <c r="A19" s="194">
        <v>5</v>
      </c>
      <c r="B19" s="180"/>
      <c r="C19" s="180"/>
      <c r="D19" s="1060" t="s">
        <v>610</v>
      </c>
      <c r="E19" s="1061"/>
      <c r="F19" s="1062"/>
      <c r="G19" s="1063">
        <v>37110</v>
      </c>
      <c r="H19" s="1064"/>
      <c r="I19" s="1065" t="s">
        <v>643</v>
      </c>
      <c r="J19" s="1066"/>
      <c r="K19" s="1067"/>
      <c r="L19" s="1068" t="s">
        <v>595</v>
      </c>
      <c r="M19" s="1069"/>
      <c r="N19" s="1070"/>
      <c r="O19" s="1071"/>
    </row>
    <row r="20" spans="1:15" s="203" customFormat="1" ht="24.75" customHeight="1">
      <c r="A20" s="194">
        <v>6</v>
      </c>
      <c r="B20" s="180"/>
      <c r="C20" s="180"/>
      <c r="D20" s="1060" t="s">
        <v>611</v>
      </c>
      <c r="E20" s="1061"/>
      <c r="F20" s="1062"/>
      <c r="G20" s="1063">
        <v>37716</v>
      </c>
      <c r="H20" s="1064"/>
      <c r="I20" s="1065" t="s">
        <v>644</v>
      </c>
      <c r="J20" s="1066"/>
      <c r="K20" s="1067"/>
      <c r="L20" s="1068" t="s">
        <v>592</v>
      </c>
      <c r="M20" s="1069"/>
      <c r="N20" s="1070"/>
      <c r="O20" s="1071"/>
    </row>
    <row r="21" spans="1:15" s="203" customFormat="1" ht="24.75" customHeight="1">
      <c r="A21" s="194">
        <v>7</v>
      </c>
      <c r="B21" s="180"/>
      <c r="C21" s="180"/>
      <c r="D21" s="1060" t="s">
        <v>612</v>
      </c>
      <c r="E21" s="1061"/>
      <c r="F21" s="1062"/>
      <c r="G21" s="1063">
        <v>37737</v>
      </c>
      <c r="H21" s="1064"/>
      <c r="I21" s="1065" t="s">
        <v>645</v>
      </c>
      <c r="J21" s="1066"/>
      <c r="K21" s="1067"/>
      <c r="L21" s="1068" t="s">
        <v>602</v>
      </c>
      <c r="M21" s="1069"/>
      <c r="N21" s="1070"/>
      <c r="O21" s="1071"/>
    </row>
    <row r="22" spans="1:15" s="203" customFormat="1" ht="24.75" customHeight="1">
      <c r="A22" s="194">
        <v>8</v>
      </c>
      <c r="B22" s="180"/>
      <c r="C22" s="180"/>
      <c r="D22" s="1060"/>
      <c r="E22" s="1061"/>
      <c r="F22" s="1062"/>
      <c r="G22" s="1063"/>
      <c r="H22" s="1064"/>
      <c r="I22" s="1065"/>
      <c r="J22" s="1066"/>
      <c r="K22" s="1067"/>
      <c r="L22" s="1068"/>
      <c r="M22" s="1069"/>
      <c r="N22" s="1070"/>
      <c r="O22" s="1071"/>
    </row>
    <row r="23" spans="1:15" s="203" customFormat="1" ht="24.75" customHeight="1">
      <c r="A23" s="194">
        <v>9</v>
      </c>
      <c r="B23" s="180"/>
      <c r="C23" s="180"/>
      <c r="D23" s="1060"/>
      <c r="E23" s="1061"/>
      <c r="F23" s="1062"/>
      <c r="G23" s="1063"/>
      <c r="H23" s="1064"/>
      <c r="I23" s="1065"/>
      <c r="J23" s="1066"/>
      <c r="K23" s="1067"/>
      <c r="L23" s="1068"/>
      <c r="M23" s="1069"/>
      <c r="N23" s="1070"/>
      <c r="O23" s="1071"/>
    </row>
    <row r="24" spans="1:15" s="203" customFormat="1" ht="24.75" customHeight="1" thickBot="1">
      <c r="A24" s="195">
        <v>10</v>
      </c>
      <c r="B24" s="181"/>
      <c r="C24" s="181"/>
      <c r="D24" s="1086"/>
      <c r="E24" s="1087"/>
      <c r="F24" s="1088"/>
      <c r="G24" s="1089"/>
      <c r="H24" s="1090"/>
      <c r="I24" s="1091"/>
      <c r="J24" s="1092"/>
      <c r="K24" s="1093"/>
      <c r="L24" s="1094"/>
      <c r="M24" s="1095"/>
      <c r="N24" s="1096"/>
      <c r="O24" s="1097"/>
    </row>
    <row r="25" spans="1:15" s="203" customFormat="1" ht="24.75" customHeight="1">
      <c r="A25" s="196" t="s">
        <v>39</v>
      </c>
      <c r="B25" s="179"/>
      <c r="C25" s="179"/>
      <c r="D25" s="1072" t="s">
        <v>613</v>
      </c>
      <c r="E25" s="1073"/>
      <c r="F25" s="1074"/>
      <c r="G25" s="1075"/>
      <c r="H25" s="1076"/>
      <c r="I25" s="1103"/>
      <c r="J25" s="1104"/>
      <c r="K25" s="1105"/>
      <c r="L25" s="1106"/>
      <c r="M25" s="1107"/>
      <c r="N25" s="1058"/>
      <c r="O25" s="1059"/>
    </row>
    <row r="26" spans="1:15" s="203" customFormat="1" ht="24.75" customHeight="1" thickBot="1">
      <c r="A26" s="197" t="s">
        <v>40</v>
      </c>
      <c r="B26" s="181"/>
      <c r="C26" s="181"/>
      <c r="D26" s="1086" t="s">
        <v>614</v>
      </c>
      <c r="E26" s="1087"/>
      <c r="F26" s="1088"/>
      <c r="G26" s="1089"/>
      <c r="H26" s="1090"/>
      <c r="I26" s="1098"/>
      <c r="J26" s="1099"/>
      <c r="K26" s="1100"/>
      <c r="L26" s="1101"/>
      <c r="M26" s="1102"/>
      <c r="N26" s="1096"/>
      <c r="O26" s="1097"/>
    </row>
    <row r="27" spans="1:15" s="203" customFormat="1" ht="24.75" customHeight="1" thickBot="1">
      <c r="A27" s="446" t="s">
        <v>231</v>
      </c>
      <c r="B27" s="447"/>
      <c r="C27" s="447"/>
      <c r="D27" s="447"/>
      <c r="E27" s="447"/>
      <c r="F27" s="448"/>
      <c r="G27" s="449">
        <f>G65</f>
        <v>12.428571428571429</v>
      </c>
      <c r="H27" s="249" t="s">
        <v>232</v>
      </c>
      <c r="I27" s="447"/>
      <c r="J27" s="447"/>
      <c r="K27" s="447"/>
      <c r="L27" s="447"/>
      <c r="M27" s="447"/>
      <c r="N27" s="447"/>
      <c r="O27" s="448"/>
    </row>
    <row r="28" spans="11:13" ht="12.75" hidden="1">
      <c r="K28" s="182">
        <f>IF(L12="31.12.",31,IF(L12="01.01.",1,IF(L12="01.07.",1,30)))</f>
        <v>1</v>
      </c>
      <c r="L28" s="182">
        <f>IF(L12="31.12.",12,IF(L12="01.01.",1,IF(L12="01.07.",7,6)))</f>
        <v>7</v>
      </c>
      <c r="M28" s="182">
        <f>M12</f>
        <v>1999</v>
      </c>
    </row>
    <row r="29" spans="4:15" ht="12.75" hidden="1">
      <c r="D29" s="183">
        <f>IF(G15="","",G15)</f>
        <v>37131</v>
      </c>
      <c r="E29" s="183">
        <f>IF(D29="","",D29+1)</f>
        <v>37132</v>
      </c>
      <c r="F29" s="182">
        <f>IF(D29="","",DAY(D29))</f>
        <v>28</v>
      </c>
      <c r="G29" s="182">
        <f>IF(D29="","",MONTH(D29))</f>
        <v>8</v>
      </c>
      <c r="H29" s="178">
        <f>IF(D29="","",YEAR(D29))</f>
        <v>2001</v>
      </c>
      <c r="K29" s="178">
        <f>IF(D29="","",$K$28-F29)</f>
        <v>-27</v>
      </c>
      <c r="L29" s="178">
        <f>IF(D29="","",$L$28-G29)</f>
        <v>-1</v>
      </c>
      <c r="M29" s="178">
        <f>IF(D29="","",$M$28-H29)</f>
        <v>-2</v>
      </c>
      <c r="N29" s="178">
        <f>K29+(L29*100)+(M29*10000)</f>
        <v>-20127</v>
      </c>
      <c r="O29" s="178">
        <f>IF(Mannschaften!H$3=Mannschaften!K$166,N29,IF(Mannschaften!H$3=Mannschaften!K$167,N29,IF(Mannschaften!H$3=Mannschaften!K$168,N29,IF(Mannschaften!H$3=Mannschaften!K$169,N29,IF(Mannschaften!H$3=Mannschaften!K$170,N29,N29*-1)))))</f>
        <v>20127</v>
      </c>
    </row>
    <row r="30" spans="4:15" ht="12.75" hidden="1">
      <c r="D30" s="183">
        <f aca="true" t="shared" si="0" ref="D30:D38">IF(G16="","",G16)</f>
        <v>36388</v>
      </c>
      <c r="E30" s="183">
        <f aca="true" t="shared" si="1" ref="E30:E38">IF(D30="","",D30+1)</f>
        <v>36389</v>
      </c>
      <c r="F30" s="182">
        <f aca="true" t="shared" si="2" ref="F30:F38">IF(D30="","",DAY(D30))</f>
        <v>16</v>
      </c>
      <c r="G30" s="182">
        <f aca="true" t="shared" si="3" ref="G30:G38">IF(D30="","",MONTH(D30))</f>
        <v>8</v>
      </c>
      <c r="H30" s="178">
        <f aca="true" t="shared" si="4" ref="H30:H38">IF(D30="","",YEAR(D30))</f>
        <v>1999</v>
      </c>
      <c r="K30" s="178">
        <f aca="true" t="shared" si="5" ref="K30:K35">IF(D30="","",$K$28-F30)</f>
        <v>-15</v>
      </c>
      <c r="L30" s="178">
        <f aca="true" t="shared" si="6" ref="L30:L35">IF(D30="","",$L$28-G30)</f>
        <v>-1</v>
      </c>
      <c r="M30" s="178">
        <f aca="true" t="shared" si="7" ref="M30:M35">IF(D30="","",$M$28-H30)</f>
        <v>0</v>
      </c>
      <c r="N30" s="178">
        <f aca="true" t="shared" si="8" ref="N30:N35">K30+(L30*100)+(M30*10000)</f>
        <v>-115</v>
      </c>
      <c r="O30" s="178">
        <f>IF(Mannschaften!H$3=Mannschaften!K$166,N30,IF(Mannschaften!H$3=Mannschaften!K$167,N30,IF(Mannschaften!H$3=Mannschaften!K$168,N30,IF(Mannschaften!H$3=Mannschaften!K$169,N30,IF(Mannschaften!H$3=Mannschaften!K$170,N30,N30*-1)))))</f>
        <v>115</v>
      </c>
    </row>
    <row r="31" spans="4:15" ht="12.75" hidden="1">
      <c r="D31" s="183">
        <f t="shared" si="0"/>
        <v>36594</v>
      </c>
      <c r="E31" s="183">
        <f t="shared" si="1"/>
        <v>36595</v>
      </c>
      <c r="F31" s="182">
        <f t="shared" si="2"/>
        <v>9</v>
      </c>
      <c r="G31" s="182">
        <f t="shared" si="3"/>
        <v>3</v>
      </c>
      <c r="H31" s="178">
        <f t="shared" si="4"/>
        <v>2000</v>
      </c>
      <c r="K31" s="178">
        <f t="shared" si="5"/>
        <v>-8</v>
      </c>
      <c r="L31" s="178">
        <f t="shared" si="6"/>
        <v>4</v>
      </c>
      <c r="M31" s="178">
        <f t="shared" si="7"/>
        <v>-1</v>
      </c>
      <c r="N31" s="178">
        <f t="shared" si="8"/>
        <v>-9608</v>
      </c>
      <c r="O31" s="178">
        <f>IF(Mannschaften!H$3=Mannschaften!K$166,N31,IF(Mannschaften!H$3=Mannschaften!K$167,N31,IF(Mannschaften!H$3=Mannschaften!K$168,N31,IF(Mannschaften!H$3=Mannschaften!K$169,N31,IF(Mannschaften!H$3=Mannschaften!K$170,N31,N31*-1)))))</f>
        <v>9608</v>
      </c>
    </row>
    <row r="32" spans="4:15" ht="12.75" hidden="1">
      <c r="D32" s="183">
        <f t="shared" si="0"/>
        <v>37413</v>
      </c>
      <c r="E32" s="183">
        <f t="shared" si="1"/>
        <v>37414</v>
      </c>
      <c r="F32" s="182">
        <f t="shared" si="2"/>
        <v>6</v>
      </c>
      <c r="G32" s="182">
        <f t="shared" si="3"/>
        <v>6</v>
      </c>
      <c r="H32" s="178">
        <f t="shared" si="4"/>
        <v>2002</v>
      </c>
      <c r="K32" s="178">
        <f t="shared" si="5"/>
        <v>-5</v>
      </c>
      <c r="L32" s="178">
        <f t="shared" si="6"/>
        <v>1</v>
      </c>
      <c r="M32" s="178">
        <f t="shared" si="7"/>
        <v>-3</v>
      </c>
      <c r="N32" s="178">
        <f t="shared" si="8"/>
        <v>-29905</v>
      </c>
      <c r="O32" s="178">
        <f>IF(Mannschaften!H$3=Mannschaften!K$166,N32,IF(Mannschaften!H$3=Mannschaften!K$167,N32,IF(Mannschaften!H$3=Mannschaften!K$168,N32,IF(Mannschaften!H$3=Mannschaften!K$169,N32,IF(Mannschaften!H$3=Mannschaften!K$170,N32,N32*-1)))))</f>
        <v>29905</v>
      </c>
    </row>
    <row r="33" spans="4:15" ht="12.75" hidden="1">
      <c r="D33" s="183">
        <f t="shared" si="0"/>
        <v>37110</v>
      </c>
      <c r="E33" s="183">
        <f t="shared" si="1"/>
        <v>37111</v>
      </c>
      <c r="F33" s="182">
        <f t="shared" si="2"/>
        <v>7</v>
      </c>
      <c r="G33" s="182">
        <f t="shared" si="3"/>
        <v>8</v>
      </c>
      <c r="H33" s="178">
        <f t="shared" si="4"/>
        <v>2001</v>
      </c>
      <c r="K33" s="178">
        <f t="shared" si="5"/>
        <v>-6</v>
      </c>
      <c r="L33" s="178">
        <f t="shared" si="6"/>
        <v>-1</v>
      </c>
      <c r="M33" s="178">
        <f t="shared" si="7"/>
        <v>-2</v>
      </c>
      <c r="N33" s="178">
        <f t="shared" si="8"/>
        <v>-20106</v>
      </c>
      <c r="O33" s="178">
        <f>IF(Mannschaften!H$3=Mannschaften!K$166,N33,IF(Mannschaften!H$3=Mannschaften!K$167,N33,IF(Mannschaften!H$3=Mannschaften!K$168,N33,IF(Mannschaften!H$3=Mannschaften!K$169,N33,IF(Mannschaften!H$3=Mannschaften!K$170,N33,N33*-1)))))</f>
        <v>20106</v>
      </c>
    </row>
    <row r="34" spans="4:15" ht="12.75" hidden="1">
      <c r="D34" s="183">
        <f>IF(G20="","",G20)</f>
        <v>37716</v>
      </c>
      <c r="E34" s="183">
        <f t="shared" si="1"/>
        <v>37717</v>
      </c>
      <c r="F34" s="182">
        <f t="shared" si="2"/>
        <v>5</v>
      </c>
      <c r="G34" s="182">
        <f t="shared" si="3"/>
        <v>4</v>
      </c>
      <c r="H34" s="178">
        <f t="shared" si="4"/>
        <v>2003</v>
      </c>
      <c r="K34" s="178">
        <f t="shared" si="5"/>
        <v>-4</v>
      </c>
      <c r="L34" s="178">
        <f t="shared" si="6"/>
        <v>3</v>
      </c>
      <c r="M34" s="178">
        <f t="shared" si="7"/>
        <v>-4</v>
      </c>
      <c r="N34" s="178">
        <f t="shared" si="8"/>
        <v>-39704</v>
      </c>
      <c r="O34" s="178">
        <f>IF(Mannschaften!H$3=Mannschaften!K$166,N34,IF(Mannschaften!H$3=Mannschaften!K$167,N34,IF(Mannschaften!H$3=Mannschaften!K$168,N34,IF(Mannschaften!H$3=Mannschaften!K$169,N34,IF(Mannschaften!H$3=Mannschaften!K$170,N34,N34*-1)))))</f>
        <v>39704</v>
      </c>
    </row>
    <row r="35" spans="4:15" ht="12.75" hidden="1">
      <c r="D35" s="183">
        <f>IF(G21="","",G21)</f>
        <v>37737</v>
      </c>
      <c r="E35" s="183">
        <f t="shared" si="1"/>
        <v>37738</v>
      </c>
      <c r="F35" s="182">
        <f t="shared" si="2"/>
        <v>26</v>
      </c>
      <c r="G35" s="182">
        <f t="shared" si="3"/>
        <v>4</v>
      </c>
      <c r="H35" s="178">
        <f t="shared" si="4"/>
        <v>2003</v>
      </c>
      <c r="K35" s="178">
        <f t="shared" si="5"/>
        <v>-25</v>
      </c>
      <c r="L35" s="178">
        <f t="shared" si="6"/>
        <v>3</v>
      </c>
      <c r="M35" s="178">
        <f t="shared" si="7"/>
        <v>-4</v>
      </c>
      <c r="N35" s="178">
        <f t="shared" si="8"/>
        <v>-39725</v>
      </c>
      <c r="O35" s="178">
        <f>IF(Mannschaften!H$3=Mannschaften!K$166,N35,IF(Mannschaften!H$3=Mannschaften!K$167,N35,IF(Mannschaften!H$3=Mannschaften!K$168,N35,IF(Mannschaften!H$3=Mannschaften!K$169,N35,IF(Mannschaften!H$3=Mannschaften!K$170,N35,N35*-1)))))</f>
        <v>39725</v>
      </c>
    </row>
    <row r="36" spans="4:15" ht="12.75" hidden="1">
      <c r="D36" s="183">
        <f t="shared" si="0"/>
      </c>
      <c r="E36" s="183">
        <f t="shared" si="1"/>
      </c>
      <c r="F36" s="182">
        <f t="shared" si="2"/>
      </c>
      <c r="G36" s="182">
        <f t="shared" si="3"/>
      </c>
      <c r="H36" s="178">
        <f t="shared" si="4"/>
      </c>
      <c r="K36" s="178">
        <f>IF(D36="","",$K$28-F36)</f>
      </c>
      <c r="L36" s="178">
        <f>IF(D36="","",$L$28-G36)</f>
      </c>
      <c r="M36" s="178">
        <f>IF(D36="","",$M$28-H36)</f>
      </c>
      <c r="N36" s="178" t="e">
        <f>K36+(L36*100)+(M36*10000)</f>
        <v>#VALUE!</v>
      </c>
      <c r="O36" s="178" t="e">
        <f>IF(Mannschaften!H$3=Mannschaften!K$166,N36,IF(Mannschaften!H$3=Mannschaften!K$167,N36,IF(Mannschaften!H$3=Mannschaften!K$168,N36,IF(Mannschaften!H$3=Mannschaften!K$169,N36,IF(Mannschaften!H$3=Mannschaften!K$170,N36,N36*-1)))))</f>
        <v>#VALUE!</v>
      </c>
    </row>
    <row r="37" spans="4:15" ht="12.75" hidden="1">
      <c r="D37" s="183">
        <f t="shared" si="0"/>
      </c>
      <c r="E37" s="183">
        <f t="shared" si="1"/>
      </c>
      <c r="F37" s="182">
        <f t="shared" si="2"/>
      </c>
      <c r="G37" s="182">
        <f t="shared" si="3"/>
      </c>
      <c r="H37" s="178">
        <f t="shared" si="4"/>
      </c>
      <c r="K37" s="178">
        <f>IF(D37="","",$K$28-F37)</f>
      </c>
      <c r="L37" s="178">
        <f>IF(D37="","",$L$28-G37)</f>
      </c>
      <c r="M37" s="178">
        <f>IF(D37="","",$M$28-H37)</f>
      </c>
      <c r="N37" s="178" t="e">
        <f>K37+(L37*100)+(M37*10000)</f>
        <v>#VALUE!</v>
      </c>
      <c r="O37" s="178" t="e">
        <f>IF(Mannschaften!H$3=Mannschaften!K$166,N37,IF(Mannschaften!H$3=Mannschaften!K$167,N37,IF(Mannschaften!H$3=Mannschaften!K$168,N37,IF(Mannschaften!H$3=Mannschaften!K$169,N37,IF(Mannschaften!H$3=Mannschaften!K$170,N37,N37*-1)))))</f>
        <v>#VALUE!</v>
      </c>
    </row>
    <row r="38" spans="4:15" ht="12.75" hidden="1">
      <c r="D38" s="183">
        <f t="shared" si="0"/>
      </c>
      <c r="E38" s="183">
        <f t="shared" si="1"/>
      </c>
      <c r="F38" s="182">
        <f t="shared" si="2"/>
      </c>
      <c r="G38" s="182">
        <f t="shared" si="3"/>
      </c>
      <c r="H38" s="178">
        <f t="shared" si="4"/>
      </c>
      <c r="K38" s="178">
        <f>IF(D38="","",$K$28-F38)</f>
      </c>
      <c r="L38" s="178">
        <f>IF(D38="","",$L$28-G38)</f>
      </c>
      <c r="M38" s="178">
        <f>IF(D38="","",$M$28-H38)</f>
      </c>
      <c r="N38" s="178" t="e">
        <f>K38+(L38*100)+(M38*10000)</f>
        <v>#VALUE!</v>
      </c>
      <c r="O38" s="178" t="e">
        <f>IF(Mannschaften!H$3=Mannschaften!K$166,N38,IF(Mannschaften!H$3=Mannschaften!K$167,N38,IF(Mannschaften!H$3=Mannschaften!K$168,N38,IF(Mannschaften!H$3=Mannschaften!K$169,N38,IF(Mannschaften!H$3=Mannschaften!K$170,N38,N38*-1)))))</f>
        <v>#VALUE!</v>
      </c>
    </row>
    <row r="39" ht="12.75" hidden="1"/>
    <row r="40" spans="4:9" ht="12.75" hidden="1">
      <c r="D40" s="178">
        <f>DAY(Mannschaften!K4)</f>
        <v>22</v>
      </c>
      <c r="E40" s="178">
        <f>MONTH(Mannschaften!K4)</f>
        <v>2</v>
      </c>
      <c r="H40" s="178">
        <f>DAY(Mannschaften!M4)</f>
        <v>23</v>
      </c>
      <c r="I40" s="178">
        <f>MONTH(Mannschaften!M4)</f>
        <v>2</v>
      </c>
    </row>
    <row r="41" spans="4:11" ht="12.75" hidden="1">
      <c r="D41" s="182">
        <f>IF($D$40=F29,1,0)</f>
        <v>0</v>
      </c>
      <c r="E41" s="182">
        <f>IF($E$40=G29,1,0)</f>
        <v>0</v>
      </c>
      <c r="F41" s="182"/>
      <c r="G41" s="182">
        <f>D41+E41</f>
        <v>0</v>
      </c>
      <c r="H41" s="182">
        <f>IF($H$40=F29,1,0)</f>
        <v>0</v>
      </c>
      <c r="I41" s="182">
        <f>IF($I$40=G29,1,0)</f>
        <v>0</v>
      </c>
      <c r="K41" s="182">
        <f>H41+I41</f>
        <v>0</v>
      </c>
    </row>
    <row r="42" spans="4:11" ht="12.75" hidden="1">
      <c r="D42" s="182">
        <f aca="true" t="shared" si="9" ref="D42:D50">IF($D$40=F30,1,0)</f>
        <v>0</v>
      </c>
      <c r="E42" s="182">
        <f aca="true" t="shared" si="10" ref="E42:E50">IF($E$40=G30,1,0)</f>
        <v>0</v>
      </c>
      <c r="F42" s="182"/>
      <c r="G42" s="182">
        <f aca="true" t="shared" si="11" ref="G42:G50">D42+E42</f>
        <v>0</v>
      </c>
      <c r="H42" s="182">
        <f aca="true" t="shared" si="12" ref="H42:H50">IF($H$40=F30,1,0)</f>
        <v>0</v>
      </c>
      <c r="I42" s="182">
        <f aca="true" t="shared" si="13" ref="I42:I50">IF($I$40=G30,1,0)</f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1"/>
        <v>0</v>
      </c>
      <c r="H43" s="182">
        <f t="shared" si="12"/>
        <v>0</v>
      </c>
      <c r="I43" s="182">
        <f t="shared" si="13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1"/>
        <v>0</v>
      </c>
      <c r="H44" s="182">
        <f t="shared" si="12"/>
        <v>0</v>
      </c>
      <c r="I44" s="182">
        <f t="shared" si="13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1"/>
        <v>0</v>
      </c>
      <c r="H45" s="182">
        <f t="shared" si="12"/>
        <v>0</v>
      </c>
      <c r="I45" s="182">
        <f t="shared" si="13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1"/>
        <v>0</v>
      </c>
      <c r="H46" s="182">
        <f t="shared" si="12"/>
        <v>0</v>
      </c>
      <c r="I46" s="182">
        <f t="shared" si="13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1"/>
        <v>0</v>
      </c>
      <c r="H47" s="182">
        <f t="shared" si="12"/>
        <v>0</v>
      </c>
      <c r="I47" s="182">
        <f t="shared" si="13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1"/>
        <v>0</v>
      </c>
      <c r="H48" s="182">
        <f t="shared" si="12"/>
        <v>0</v>
      </c>
      <c r="I48" s="182">
        <f t="shared" si="13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1"/>
        <v>0</v>
      </c>
      <c r="H49" s="182">
        <f t="shared" si="12"/>
        <v>0</v>
      </c>
      <c r="I49" s="182">
        <f t="shared" si="13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1"/>
        <v>0</v>
      </c>
      <c r="H50" s="182">
        <f t="shared" si="12"/>
        <v>0</v>
      </c>
      <c r="I50" s="182">
        <f t="shared" si="13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  <v>4561</v>
      </c>
      <c r="H54" s="178">
        <f>IF(G54="",0,1)</f>
        <v>1</v>
      </c>
    </row>
    <row r="55" spans="7:8" ht="12.75" hidden="1">
      <c r="G55" s="182">
        <f aca="true" t="shared" si="15" ref="G55:G63">IF(G16="","",I$4-G16)</f>
        <v>5304</v>
      </c>
      <c r="H55" s="178">
        <f aca="true" t="shared" si="16" ref="H55:H63">IF(G55="",0,1)</f>
        <v>1</v>
      </c>
    </row>
    <row r="56" spans="7:8" ht="12.75" hidden="1">
      <c r="G56" s="182">
        <f t="shared" si="15"/>
        <v>5098</v>
      </c>
      <c r="H56" s="178">
        <f t="shared" si="16"/>
        <v>1</v>
      </c>
    </row>
    <row r="57" spans="7:8" ht="12.75" hidden="1">
      <c r="G57" s="182">
        <f t="shared" si="15"/>
        <v>4279</v>
      </c>
      <c r="H57" s="178">
        <f t="shared" si="16"/>
        <v>1</v>
      </c>
    </row>
    <row r="58" spans="7:8" ht="12.75" hidden="1">
      <c r="G58" s="182">
        <f t="shared" si="15"/>
        <v>4582</v>
      </c>
      <c r="H58" s="178">
        <f t="shared" si="16"/>
        <v>1</v>
      </c>
    </row>
    <row r="59" spans="7:8" ht="12.75" hidden="1">
      <c r="G59" s="182">
        <f t="shared" si="15"/>
        <v>3976</v>
      </c>
      <c r="H59" s="178">
        <f t="shared" si="16"/>
        <v>1</v>
      </c>
    </row>
    <row r="60" spans="7:8" ht="12.75" hidden="1">
      <c r="G60" s="182">
        <f t="shared" si="15"/>
        <v>3955</v>
      </c>
      <c r="H60" s="178">
        <f t="shared" si="16"/>
        <v>1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7</v>
      </c>
    </row>
    <row r="65" ht="12.75" hidden="1">
      <c r="G65" s="248">
        <f>IF(H64=0,"",SUM(G54:G63)/365/H64)</f>
        <v>12.428571428571429</v>
      </c>
    </row>
    <row r="66" ht="12.75" hidden="1"/>
  </sheetData>
  <sheetProtection sheet="1" objects="1" scenarios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1" stopIfTrue="1">
      <formula>$G41=2</formula>
    </cfRule>
    <cfRule type="expression" priority="2" dxfId="1" stopIfTrue="1">
      <formula>$K41=2</formula>
    </cfRule>
    <cfRule type="expression" priority="3" dxfId="0" stopIfTrue="1">
      <formula>$O29&lt;0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Z65"/>
  <sheetViews>
    <sheetView zoomScalePageLayoutView="0" workbookViewId="0" topLeftCell="A7">
      <selection activeCell="L16" sqref="L16:M16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11" t="s">
        <v>112</v>
      </c>
      <c r="F1" s="811"/>
      <c r="G1" s="811"/>
      <c r="H1" s="811"/>
      <c r="I1" s="811"/>
      <c r="J1" s="811"/>
      <c r="K1" s="811"/>
      <c r="L1" s="811"/>
      <c r="M1" s="811"/>
    </row>
    <row r="2" spans="5:13" s="203" customFormat="1" ht="21" customHeight="1">
      <c r="E2" s="1056" t="str">
        <f>IF(Mannschaften!D2="","",Mannschaften!D2)</f>
        <v>Ostdeutsche Meisterschaft der männl. Jugend 14 Halle 13/14</v>
      </c>
      <c r="F2" s="1056"/>
      <c r="G2" s="1056"/>
      <c r="H2" s="1056"/>
      <c r="I2" s="1056"/>
      <c r="J2" s="1056"/>
      <c r="K2" s="1056"/>
      <c r="L2" s="1056"/>
      <c r="M2" s="1056"/>
    </row>
    <row r="3" s="203" customFormat="1" ht="13.5" customHeight="1"/>
    <row r="4" spans="4:26" s="203" customFormat="1" ht="23.25" customHeight="1">
      <c r="D4" s="204"/>
      <c r="E4" s="777" t="str">
        <f>IF(Mannschaften!F4="","",Mannschaften!F4)</f>
        <v>Berlin</v>
      </c>
      <c r="F4" s="777"/>
      <c r="G4" s="777"/>
      <c r="H4" s="777"/>
      <c r="I4" s="185">
        <f>Mannschaften!K4</f>
        <v>41692</v>
      </c>
      <c r="J4" s="205" t="s">
        <v>92</v>
      </c>
      <c r="K4" s="185">
        <f>Mannschaften!M4</f>
        <v>41693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Berliner Turnerschaft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1057" t="s">
        <v>114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  <c r="N8" s="1057"/>
      <c r="O8" s="1057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1055" t="str">
        <f>Mannschaften!F145</f>
        <v>Güstrower SC 09</v>
      </c>
      <c r="E10" s="1055"/>
      <c r="F10" s="1055"/>
      <c r="G10" s="1055"/>
      <c r="H10" s="1055"/>
      <c r="I10" s="186"/>
      <c r="J10" s="777"/>
      <c r="K10" s="777"/>
      <c r="L10" s="777"/>
      <c r="M10" s="777"/>
      <c r="N10" s="777"/>
      <c r="O10" s="777"/>
    </row>
    <row r="11" s="203" customFormat="1" ht="6" customHeight="1"/>
    <row r="12" spans="6:14" s="203" customFormat="1" ht="18">
      <c r="F12" s="186" t="s">
        <v>141</v>
      </c>
      <c r="G12" s="184" t="str">
        <f>Mannschaften!H3</f>
        <v>M U14</v>
      </c>
      <c r="H12" s="186"/>
      <c r="I12" s="186" t="s">
        <v>118</v>
      </c>
      <c r="L12" s="188" t="str">
        <f>IF(Mannschaften!N3="","",Mannschaften!N3)</f>
        <v>01.07.</v>
      </c>
      <c r="M12" s="189">
        <f>IF(Mannschaften!O3="","",Mannschaften!O3)</f>
        <v>1999</v>
      </c>
      <c r="N12" s="186"/>
    </row>
    <row r="13" s="203" customFormat="1" ht="13.5" thickBot="1"/>
    <row r="14" spans="1:15" s="203" customFormat="1" ht="24.75" customHeight="1" thickBot="1">
      <c r="A14" s="190"/>
      <c r="B14" s="208" t="s">
        <v>89</v>
      </c>
      <c r="C14" s="208" t="s">
        <v>18</v>
      </c>
      <c r="D14" s="1085" t="s">
        <v>20</v>
      </c>
      <c r="E14" s="1085"/>
      <c r="F14" s="1085"/>
      <c r="G14" s="1085" t="s">
        <v>115</v>
      </c>
      <c r="H14" s="1085"/>
      <c r="I14" s="1085" t="s">
        <v>140</v>
      </c>
      <c r="J14" s="1085"/>
      <c r="K14" s="1085"/>
      <c r="L14" s="192" t="s">
        <v>116</v>
      </c>
      <c r="M14" s="192"/>
      <c r="N14" s="1085" t="s">
        <v>117</v>
      </c>
      <c r="O14" s="1085"/>
    </row>
    <row r="15" spans="1:15" s="203" customFormat="1" ht="24.75" customHeight="1">
      <c r="A15" s="193">
        <v>1</v>
      </c>
      <c r="B15" s="179"/>
      <c r="C15" s="179"/>
      <c r="D15" s="1072" t="s">
        <v>625</v>
      </c>
      <c r="E15" s="1073"/>
      <c r="F15" s="1074"/>
      <c r="G15" s="1075">
        <v>37113</v>
      </c>
      <c r="H15" s="1076"/>
      <c r="I15" s="1077" t="s">
        <v>626</v>
      </c>
      <c r="J15" s="1078"/>
      <c r="K15" s="1079"/>
      <c r="L15" s="1080" t="s">
        <v>592</v>
      </c>
      <c r="M15" s="1081"/>
      <c r="N15" s="1058"/>
      <c r="O15" s="1059"/>
    </row>
    <row r="16" spans="1:15" s="203" customFormat="1" ht="24.75" customHeight="1">
      <c r="A16" s="194">
        <v>2</v>
      </c>
      <c r="B16" s="180"/>
      <c r="C16" s="180"/>
      <c r="D16" s="1060" t="s">
        <v>627</v>
      </c>
      <c r="E16" s="1061"/>
      <c r="F16" s="1062"/>
      <c r="G16" s="1063">
        <v>37075</v>
      </c>
      <c r="H16" s="1064"/>
      <c r="I16" s="1065" t="s">
        <v>628</v>
      </c>
      <c r="J16" s="1066"/>
      <c r="K16" s="1067"/>
      <c r="L16" s="1068" t="s">
        <v>592</v>
      </c>
      <c r="M16" s="1069"/>
      <c r="N16" s="1070"/>
      <c r="O16" s="1071"/>
    </row>
    <row r="17" spans="1:15" s="203" customFormat="1" ht="24.75" customHeight="1">
      <c r="A17" s="194">
        <v>3</v>
      </c>
      <c r="B17" s="180"/>
      <c r="C17" s="180"/>
      <c r="D17" s="1060" t="s">
        <v>629</v>
      </c>
      <c r="E17" s="1061"/>
      <c r="F17" s="1062"/>
      <c r="G17" s="1063">
        <v>37168</v>
      </c>
      <c r="H17" s="1064"/>
      <c r="I17" s="1065" t="s">
        <v>630</v>
      </c>
      <c r="J17" s="1066"/>
      <c r="K17" s="1067"/>
      <c r="L17" s="1068" t="s">
        <v>592</v>
      </c>
      <c r="M17" s="1069"/>
      <c r="N17" s="1070"/>
      <c r="O17" s="1071"/>
    </row>
    <row r="18" spans="1:15" s="203" customFormat="1" ht="24.75" customHeight="1">
      <c r="A18" s="194">
        <v>4</v>
      </c>
      <c r="B18" s="180"/>
      <c r="C18" s="180"/>
      <c r="D18" s="1060" t="s">
        <v>631</v>
      </c>
      <c r="E18" s="1061"/>
      <c r="F18" s="1062"/>
      <c r="G18" s="1063">
        <v>37173</v>
      </c>
      <c r="H18" s="1064"/>
      <c r="I18" s="1065" t="s">
        <v>632</v>
      </c>
      <c r="J18" s="1066"/>
      <c r="K18" s="1067"/>
      <c r="L18" s="1068" t="s">
        <v>592</v>
      </c>
      <c r="M18" s="1069"/>
      <c r="N18" s="1070"/>
      <c r="O18" s="1071"/>
    </row>
    <row r="19" spans="1:15" s="203" customFormat="1" ht="24.75" customHeight="1">
      <c r="A19" s="194">
        <v>5</v>
      </c>
      <c r="B19" s="180"/>
      <c r="C19" s="180"/>
      <c r="D19" s="1060" t="s">
        <v>633</v>
      </c>
      <c r="E19" s="1061"/>
      <c r="F19" s="1062"/>
      <c r="G19" s="1063">
        <v>37011</v>
      </c>
      <c r="H19" s="1064"/>
      <c r="I19" s="1065" t="s">
        <v>634</v>
      </c>
      <c r="J19" s="1066"/>
      <c r="K19" s="1067"/>
      <c r="L19" s="1068" t="s">
        <v>592</v>
      </c>
      <c r="M19" s="1069"/>
      <c r="N19" s="1070"/>
      <c r="O19" s="1071"/>
    </row>
    <row r="20" spans="1:15" s="203" customFormat="1" ht="24.75" customHeight="1">
      <c r="A20" s="194">
        <v>6</v>
      </c>
      <c r="B20" s="180"/>
      <c r="C20" s="180"/>
      <c r="D20" s="1060" t="s">
        <v>635</v>
      </c>
      <c r="E20" s="1061"/>
      <c r="F20" s="1062"/>
      <c r="G20" s="1063">
        <v>37419</v>
      </c>
      <c r="H20" s="1064"/>
      <c r="I20" s="1065" t="s">
        <v>636</v>
      </c>
      <c r="J20" s="1066"/>
      <c r="K20" s="1067"/>
      <c r="L20" s="1068" t="s">
        <v>592</v>
      </c>
      <c r="M20" s="1069"/>
      <c r="N20" s="1070"/>
      <c r="O20" s="1071"/>
    </row>
    <row r="21" spans="1:15" s="203" customFormat="1" ht="24.75" customHeight="1">
      <c r="A21" s="194">
        <v>7</v>
      </c>
      <c r="B21" s="180"/>
      <c r="C21" s="180"/>
      <c r="D21" s="1060" t="s">
        <v>637</v>
      </c>
      <c r="E21" s="1061"/>
      <c r="F21" s="1062"/>
      <c r="G21" s="1063">
        <v>37854</v>
      </c>
      <c r="H21" s="1064"/>
      <c r="I21" s="1065" t="s">
        <v>638</v>
      </c>
      <c r="J21" s="1066"/>
      <c r="K21" s="1067"/>
      <c r="L21" s="1068" t="s">
        <v>602</v>
      </c>
      <c r="M21" s="1069"/>
      <c r="N21" s="1070"/>
      <c r="O21" s="1071"/>
    </row>
    <row r="22" spans="1:15" s="203" customFormat="1" ht="24.75" customHeight="1">
      <c r="A22" s="194">
        <v>8</v>
      </c>
      <c r="B22" s="180"/>
      <c r="C22" s="180"/>
      <c r="D22" s="1060"/>
      <c r="E22" s="1061"/>
      <c r="F22" s="1062"/>
      <c r="G22" s="1063"/>
      <c r="H22" s="1064"/>
      <c r="I22" s="1117"/>
      <c r="J22" s="1066"/>
      <c r="K22" s="1067"/>
      <c r="L22" s="1068"/>
      <c r="M22" s="1069"/>
      <c r="N22" s="1070"/>
      <c r="O22" s="1071"/>
    </row>
    <row r="23" spans="1:15" s="203" customFormat="1" ht="24.75" customHeight="1">
      <c r="A23" s="194">
        <v>9</v>
      </c>
      <c r="B23" s="180"/>
      <c r="C23" s="180"/>
      <c r="D23" s="1060"/>
      <c r="E23" s="1061"/>
      <c r="F23" s="1062"/>
      <c r="G23" s="1063"/>
      <c r="H23" s="1064"/>
      <c r="I23" s="1065"/>
      <c r="J23" s="1066"/>
      <c r="K23" s="1067"/>
      <c r="L23" s="1068"/>
      <c r="M23" s="1069"/>
      <c r="N23" s="1070"/>
      <c r="O23" s="1071"/>
    </row>
    <row r="24" spans="1:15" s="203" customFormat="1" ht="24.75" customHeight="1" thickBot="1">
      <c r="A24" s="195">
        <v>10</v>
      </c>
      <c r="B24" s="181"/>
      <c r="C24" s="181"/>
      <c r="D24" s="1086"/>
      <c r="E24" s="1087"/>
      <c r="F24" s="1088"/>
      <c r="G24" s="1089"/>
      <c r="H24" s="1090"/>
      <c r="I24" s="1091"/>
      <c r="J24" s="1092"/>
      <c r="K24" s="1093"/>
      <c r="L24" s="1094"/>
      <c r="M24" s="1095"/>
      <c r="N24" s="1096"/>
      <c r="O24" s="1097"/>
    </row>
    <row r="25" spans="1:15" s="203" customFormat="1" ht="24.75" customHeight="1">
      <c r="A25" s="196" t="s">
        <v>39</v>
      </c>
      <c r="B25" s="179"/>
      <c r="C25" s="179"/>
      <c r="D25" s="1072"/>
      <c r="E25" s="1073"/>
      <c r="F25" s="1074"/>
      <c r="G25" s="1075"/>
      <c r="H25" s="1076"/>
      <c r="I25" s="1103"/>
      <c r="J25" s="1104"/>
      <c r="K25" s="1105"/>
      <c r="L25" s="1106"/>
      <c r="M25" s="1107"/>
      <c r="N25" s="1058"/>
      <c r="O25" s="1059"/>
    </row>
    <row r="26" spans="1:15" s="203" customFormat="1" ht="24.75" customHeight="1" thickBot="1">
      <c r="A26" s="197" t="s">
        <v>40</v>
      </c>
      <c r="B26" s="181"/>
      <c r="C26" s="181"/>
      <c r="D26" s="1086"/>
      <c r="E26" s="1087"/>
      <c r="F26" s="1088"/>
      <c r="G26" s="1089"/>
      <c r="H26" s="1090"/>
      <c r="I26" s="1098"/>
      <c r="J26" s="1099"/>
      <c r="K26" s="1100"/>
      <c r="L26" s="1101"/>
      <c r="M26" s="1102"/>
      <c r="N26" s="1096"/>
      <c r="O26" s="1097"/>
    </row>
    <row r="27" spans="1:15" s="203" customFormat="1" ht="24.75" customHeight="1" thickBot="1">
      <c r="A27" s="446" t="s">
        <v>231</v>
      </c>
      <c r="B27" s="447"/>
      <c r="C27" s="447"/>
      <c r="D27" s="447"/>
      <c r="E27" s="447"/>
      <c r="F27" s="448"/>
      <c r="G27" s="449">
        <f>G65</f>
        <v>12.145205479452056</v>
      </c>
      <c r="H27" s="249" t="s">
        <v>232</v>
      </c>
      <c r="I27" s="447"/>
      <c r="J27" s="447"/>
      <c r="K27" s="447"/>
      <c r="L27" s="447"/>
      <c r="M27" s="447"/>
      <c r="N27" s="447"/>
      <c r="O27" s="448"/>
    </row>
    <row r="28" spans="11:13" ht="12.75" hidden="1">
      <c r="K28" s="182">
        <f>IF(L12="31.12.",31,IF(L12="01.01.",1,IF(L12="01.07.",1,30)))</f>
        <v>1</v>
      </c>
      <c r="L28" s="182">
        <f>IF(L12="31.12.",12,IF(L12="01.01.",1,IF(L12="01.07.",7,6)))</f>
        <v>7</v>
      </c>
      <c r="M28" s="182">
        <f>M12</f>
        <v>1999</v>
      </c>
    </row>
    <row r="29" spans="4:15" ht="12.75" hidden="1">
      <c r="D29" s="183">
        <f>IF(G15="","",G15)</f>
        <v>37113</v>
      </c>
      <c r="E29" s="183">
        <f>IF(D29="","",D29+1)</f>
        <v>37114</v>
      </c>
      <c r="F29" s="182">
        <f>IF(D29="","",DAY(D29))</f>
        <v>10</v>
      </c>
      <c r="G29" s="182">
        <f>IF(D29="","",MONTH(D29))</f>
        <v>8</v>
      </c>
      <c r="H29" s="178">
        <f>IF(D29="","",YEAR(D29))</f>
        <v>2001</v>
      </c>
      <c r="K29" s="178">
        <f>IF(D29="","",$K$28-F29)</f>
        <v>-9</v>
      </c>
      <c r="L29" s="178">
        <f>IF(D29="","",$L$28-G29)</f>
        <v>-1</v>
      </c>
      <c r="M29" s="178">
        <f>IF(D29="","",$M$28-H29)</f>
        <v>-2</v>
      </c>
      <c r="N29" s="178">
        <f>K29+(L29*100)+(M29*10000)</f>
        <v>-20109</v>
      </c>
      <c r="O29" s="178">
        <f>IF(Mannschaften!H$3=Mannschaften!K$166,N29,IF(Mannschaften!H$3=Mannschaften!K$167,N29,IF(Mannschaften!H$3=Mannschaften!K$168,N29,IF(Mannschaften!H$3=Mannschaften!K$169,N29,IF(Mannschaften!H$3=Mannschaften!K$170,N29,N29*-1)))))</f>
        <v>20109</v>
      </c>
    </row>
    <row r="30" spans="4:15" ht="12.75" hidden="1">
      <c r="D30" s="183">
        <f aca="true" t="shared" si="0" ref="D30:D38">IF(G16="","",G16)</f>
        <v>37075</v>
      </c>
      <c r="E30" s="183">
        <f aca="true" t="shared" si="1" ref="E30:E38">IF(D30="","",D30+1)</f>
        <v>37076</v>
      </c>
      <c r="F30" s="182">
        <f aca="true" t="shared" si="2" ref="F30:F38">IF(D30="","",DAY(D30))</f>
        <v>3</v>
      </c>
      <c r="G30" s="182">
        <f aca="true" t="shared" si="3" ref="G30:G38">IF(D30="","",MONTH(D30))</f>
        <v>7</v>
      </c>
      <c r="H30" s="178">
        <f aca="true" t="shared" si="4" ref="H30:H38">IF(D30="","",YEAR(D30))</f>
        <v>2001</v>
      </c>
      <c r="K30" s="178">
        <f aca="true" t="shared" si="5" ref="K30:K35">IF(D30="","",$K$28-F30)</f>
        <v>-2</v>
      </c>
      <c r="L30" s="178">
        <f aca="true" t="shared" si="6" ref="L30:L35">IF(D30="","",$L$28-G30)</f>
        <v>0</v>
      </c>
      <c r="M30" s="178">
        <f aca="true" t="shared" si="7" ref="M30:M35">IF(D30="","",$M$28-H30)</f>
        <v>-2</v>
      </c>
      <c r="N30" s="178">
        <f aca="true" t="shared" si="8" ref="N30:N35">K30+(L30*100)+(M30*10000)</f>
        <v>-20002</v>
      </c>
      <c r="O30" s="178">
        <f>IF(Mannschaften!H$3=Mannschaften!K$166,N30,IF(Mannschaften!H$3=Mannschaften!K$167,N30,IF(Mannschaften!H$3=Mannschaften!K$168,N30,IF(Mannschaften!H$3=Mannschaften!K$169,N30,IF(Mannschaften!H$3=Mannschaften!K$170,N30,N30*-1)))))</f>
        <v>20002</v>
      </c>
    </row>
    <row r="31" spans="4:15" ht="12.75" hidden="1">
      <c r="D31" s="183">
        <f t="shared" si="0"/>
        <v>37168</v>
      </c>
      <c r="E31" s="183">
        <f t="shared" si="1"/>
        <v>37169</v>
      </c>
      <c r="F31" s="182">
        <f t="shared" si="2"/>
        <v>4</v>
      </c>
      <c r="G31" s="182">
        <f t="shared" si="3"/>
        <v>10</v>
      </c>
      <c r="H31" s="178">
        <f t="shared" si="4"/>
        <v>2001</v>
      </c>
      <c r="K31" s="178">
        <f t="shared" si="5"/>
        <v>-3</v>
      </c>
      <c r="L31" s="178">
        <f t="shared" si="6"/>
        <v>-3</v>
      </c>
      <c r="M31" s="178">
        <f t="shared" si="7"/>
        <v>-2</v>
      </c>
      <c r="N31" s="178">
        <f t="shared" si="8"/>
        <v>-20303</v>
      </c>
      <c r="O31" s="178">
        <f>IF(Mannschaften!H$3=Mannschaften!K$166,N31,IF(Mannschaften!H$3=Mannschaften!K$167,N31,IF(Mannschaften!H$3=Mannschaften!K$168,N31,IF(Mannschaften!H$3=Mannschaften!K$169,N31,IF(Mannschaften!H$3=Mannschaften!K$170,N31,N31*-1)))))</f>
        <v>20303</v>
      </c>
    </row>
    <row r="32" spans="4:15" ht="12.75" hidden="1">
      <c r="D32" s="183">
        <f t="shared" si="0"/>
        <v>37173</v>
      </c>
      <c r="E32" s="183">
        <f t="shared" si="1"/>
        <v>37174</v>
      </c>
      <c r="F32" s="182">
        <f t="shared" si="2"/>
        <v>9</v>
      </c>
      <c r="G32" s="182">
        <f t="shared" si="3"/>
        <v>10</v>
      </c>
      <c r="H32" s="178">
        <f t="shared" si="4"/>
        <v>2001</v>
      </c>
      <c r="K32" s="178">
        <f t="shared" si="5"/>
        <v>-8</v>
      </c>
      <c r="L32" s="178">
        <f t="shared" si="6"/>
        <v>-3</v>
      </c>
      <c r="M32" s="178">
        <f t="shared" si="7"/>
        <v>-2</v>
      </c>
      <c r="N32" s="178">
        <f t="shared" si="8"/>
        <v>-20308</v>
      </c>
      <c r="O32" s="178">
        <f>IF(Mannschaften!H$3=Mannschaften!K$166,N32,IF(Mannschaften!H$3=Mannschaften!K$167,N32,IF(Mannschaften!H$3=Mannschaften!K$168,N32,IF(Mannschaften!H$3=Mannschaften!K$169,N32,IF(Mannschaften!H$3=Mannschaften!K$170,N32,N32*-1)))))</f>
        <v>20308</v>
      </c>
    </row>
    <row r="33" spans="4:15" ht="12.75" hidden="1">
      <c r="D33" s="183">
        <f t="shared" si="0"/>
        <v>37011</v>
      </c>
      <c r="E33" s="183">
        <f t="shared" si="1"/>
        <v>37012</v>
      </c>
      <c r="F33" s="182">
        <f t="shared" si="2"/>
        <v>30</v>
      </c>
      <c r="G33" s="182">
        <f t="shared" si="3"/>
        <v>4</v>
      </c>
      <c r="H33" s="178">
        <f t="shared" si="4"/>
        <v>2001</v>
      </c>
      <c r="K33" s="178">
        <f t="shared" si="5"/>
        <v>-29</v>
      </c>
      <c r="L33" s="178">
        <f t="shared" si="6"/>
        <v>3</v>
      </c>
      <c r="M33" s="178">
        <f t="shared" si="7"/>
        <v>-2</v>
      </c>
      <c r="N33" s="178">
        <f t="shared" si="8"/>
        <v>-19729</v>
      </c>
      <c r="O33" s="178">
        <f>IF(Mannschaften!H$3=Mannschaften!K$166,N33,IF(Mannschaften!H$3=Mannschaften!K$167,N33,IF(Mannschaften!H$3=Mannschaften!K$168,N33,IF(Mannschaften!H$3=Mannschaften!K$169,N33,IF(Mannschaften!H$3=Mannschaften!K$170,N33,N33*-1)))))</f>
        <v>19729</v>
      </c>
    </row>
    <row r="34" spans="4:15" ht="12.75" hidden="1">
      <c r="D34" s="183">
        <f>IF(G20="","",G20)</f>
        <v>37419</v>
      </c>
      <c r="E34" s="183">
        <f t="shared" si="1"/>
        <v>37420</v>
      </c>
      <c r="F34" s="182">
        <f t="shared" si="2"/>
        <v>12</v>
      </c>
      <c r="G34" s="182">
        <f t="shared" si="3"/>
        <v>6</v>
      </c>
      <c r="H34" s="178">
        <f t="shared" si="4"/>
        <v>2002</v>
      </c>
      <c r="K34" s="178">
        <f t="shared" si="5"/>
        <v>-11</v>
      </c>
      <c r="L34" s="178">
        <f t="shared" si="6"/>
        <v>1</v>
      </c>
      <c r="M34" s="178">
        <f t="shared" si="7"/>
        <v>-3</v>
      </c>
      <c r="N34" s="178">
        <f t="shared" si="8"/>
        <v>-29911</v>
      </c>
      <c r="O34" s="178">
        <f>IF(Mannschaften!H$3=Mannschaften!K$166,N34,IF(Mannschaften!H$3=Mannschaften!K$167,N34,IF(Mannschaften!H$3=Mannschaften!K$168,N34,IF(Mannschaften!H$3=Mannschaften!K$169,N34,IF(Mannschaften!H$3=Mannschaften!K$170,N34,N34*-1)))))</f>
        <v>29911</v>
      </c>
    </row>
    <row r="35" spans="4:15" ht="12.75" hidden="1">
      <c r="D35" s="183">
        <f>IF(G21="","",G21)</f>
        <v>37854</v>
      </c>
      <c r="E35" s="183">
        <f t="shared" si="1"/>
        <v>37855</v>
      </c>
      <c r="F35" s="182">
        <f t="shared" si="2"/>
        <v>21</v>
      </c>
      <c r="G35" s="182">
        <f t="shared" si="3"/>
        <v>8</v>
      </c>
      <c r="H35" s="178">
        <f t="shared" si="4"/>
        <v>2003</v>
      </c>
      <c r="K35" s="178">
        <f t="shared" si="5"/>
        <v>-20</v>
      </c>
      <c r="L35" s="178">
        <f t="shared" si="6"/>
        <v>-1</v>
      </c>
      <c r="M35" s="178">
        <f t="shared" si="7"/>
        <v>-4</v>
      </c>
      <c r="N35" s="178">
        <f t="shared" si="8"/>
        <v>-40120</v>
      </c>
      <c r="O35" s="178">
        <f>IF(Mannschaften!H$3=Mannschaften!K$166,N35,IF(Mannschaften!H$3=Mannschaften!K$167,N35,IF(Mannschaften!H$3=Mannschaften!K$168,N35,IF(Mannschaften!H$3=Mannschaften!K$169,N35,IF(Mannschaften!H$3=Mannschaften!K$170,N35,N35*-1)))))</f>
        <v>40120</v>
      </c>
    </row>
    <row r="36" spans="4:15" ht="12.75" hidden="1">
      <c r="D36" s="183">
        <f t="shared" si="0"/>
      </c>
      <c r="E36" s="183">
        <f t="shared" si="1"/>
      </c>
      <c r="F36" s="182">
        <f t="shared" si="2"/>
      </c>
      <c r="G36" s="182">
        <f t="shared" si="3"/>
      </c>
      <c r="H36" s="178">
        <f t="shared" si="4"/>
      </c>
      <c r="K36" s="178">
        <f>IF(D36="","",$K$28-F36)</f>
      </c>
      <c r="L36" s="178">
        <f>IF(D36="","",$L$28-G36)</f>
      </c>
      <c r="M36" s="178">
        <f>IF(D36="","",$M$28-H36)</f>
      </c>
      <c r="N36" s="178" t="e">
        <f>K36+(L36*100)+(M36*10000)</f>
        <v>#VALUE!</v>
      </c>
      <c r="O36" s="178" t="e">
        <f>IF(Mannschaften!H$3=Mannschaften!K$166,N36,IF(Mannschaften!H$3=Mannschaften!K$167,N36,IF(Mannschaften!H$3=Mannschaften!K$168,N36,IF(Mannschaften!H$3=Mannschaften!K$169,N36,IF(Mannschaften!H$3=Mannschaften!K$170,N36,N36*-1)))))</f>
        <v>#VALUE!</v>
      </c>
    </row>
    <row r="37" spans="4:15" ht="12.75" hidden="1">
      <c r="D37" s="183">
        <f t="shared" si="0"/>
      </c>
      <c r="E37" s="183">
        <f t="shared" si="1"/>
      </c>
      <c r="F37" s="182">
        <f t="shared" si="2"/>
      </c>
      <c r="G37" s="182">
        <f t="shared" si="3"/>
      </c>
      <c r="H37" s="178">
        <f t="shared" si="4"/>
      </c>
      <c r="K37" s="178">
        <f>IF(D37="","",$K$28-F37)</f>
      </c>
      <c r="L37" s="178">
        <f>IF(D37="","",$L$28-G37)</f>
      </c>
      <c r="M37" s="178">
        <f>IF(D37="","",$M$28-H37)</f>
      </c>
      <c r="N37" s="178" t="e">
        <f>K37+(L37*100)+(M37*10000)</f>
        <v>#VALUE!</v>
      </c>
      <c r="O37" s="178" t="e">
        <f>IF(Mannschaften!H$3=Mannschaften!K$166,N37,IF(Mannschaften!H$3=Mannschaften!K$167,N37,IF(Mannschaften!H$3=Mannschaften!K$168,N37,IF(Mannschaften!H$3=Mannschaften!K$169,N37,IF(Mannschaften!H$3=Mannschaften!K$170,N37,N37*-1)))))</f>
        <v>#VALUE!</v>
      </c>
    </row>
    <row r="38" spans="4:15" ht="12.75" hidden="1">
      <c r="D38" s="183">
        <f t="shared" si="0"/>
      </c>
      <c r="E38" s="183">
        <f t="shared" si="1"/>
      </c>
      <c r="F38" s="182">
        <f t="shared" si="2"/>
      </c>
      <c r="G38" s="182">
        <f t="shared" si="3"/>
      </c>
      <c r="H38" s="178">
        <f t="shared" si="4"/>
      </c>
      <c r="K38" s="178">
        <f>IF(D38="","",$K$28-F38)</f>
      </c>
      <c r="L38" s="178">
        <f>IF(D38="","",$L$28-G38)</f>
      </c>
      <c r="M38" s="178">
        <f>IF(D38="","",$M$28-H38)</f>
      </c>
      <c r="N38" s="178" t="e">
        <f>K38+(L38*100)+(M38*10000)</f>
        <v>#VALUE!</v>
      </c>
      <c r="O38" s="178" t="e">
        <f>IF(Mannschaften!H$3=Mannschaften!K$166,N38,IF(Mannschaften!H$3=Mannschaften!K$167,N38,IF(Mannschaften!H$3=Mannschaften!K$168,N38,IF(Mannschaften!H$3=Mannschaften!K$169,N38,IF(Mannschaften!H$3=Mannschaften!K$170,N38,N38*-1)))))</f>
        <v>#VALUE!</v>
      </c>
    </row>
    <row r="39" ht="12.75" hidden="1"/>
    <row r="40" spans="4:9" ht="12.75" hidden="1">
      <c r="D40" s="178">
        <f>DAY(Mannschaften!K4)</f>
        <v>22</v>
      </c>
      <c r="E40" s="178">
        <f>MONTH(Mannschaften!K4)</f>
        <v>2</v>
      </c>
      <c r="H40" s="178">
        <f>DAY(Mannschaften!M4)</f>
        <v>23</v>
      </c>
      <c r="I40" s="178">
        <f>MONTH(Mannschaften!M4)</f>
        <v>2</v>
      </c>
    </row>
    <row r="41" spans="4:11" ht="12.75" hidden="1">
      <c r="D41" s="182">
        <f>IF($D$40=F29,1,0)</f>
        <v>0</v>
      </c>
      <c r="E41" s="182">
        <f>IF($E$40=G29,1,0)</f>
        <v>0</v>
      </c>
      <c r="F41" s="182"/>
      <c r="G41" s="182">
        <f>D41+E41</f>
        <v>0</v>
      </c>
      <c r="H41" s="182">
        <f>IF($H$40=F29,1,0)</f>
        <v>0</v>
      </c>
      <c r="I41" s="182">
        <f>IF($I$40=G29,1,0)</f>
        <v>0</v>
      </c>
      <c r="K41" s="182">
        <f>H41+I41</f>
        <v>0</v>
      </c>
    </row>
    <row r="42" spans="4:11" ht="12.75" hidden="1">
      <c r="D42" s="182">
        <f aca="true" t="shared" si="9" ref="D42:D50">IF($D$40=F30,1,0)</f>
        <v>0</v>
      </c>
      <c r="E42" s="182">
        <f aca="true" t="shared" si="10" ref="E42:E50">IF($E$40=G30,1,0)</f>
        <v>0</v>
      </c>
      <c r="F42" s="182"/>
      <c r="G42" s="182">
        <f aca="true" t="shared" si="11" ref="G42:G50">D42+E42</f>
        <v>0</v>
      </c>
      <c r="H42" s="182">
        <f aca="true" t="shared" si="12" ref="H42:H50">IF($H$40=F30,1,0)</f>
        <v>0</v>
      </c>
      <c r="I42" s="182">
        <f aca="true" t="shared" si="13" ref="I42:I50">IF($I$40=G30,1,0)</f>
        <v>0</v>
      </c>
      <c r="K42" s="182">
        <f aca="true" t="shared" si="14" ref="K42:K50">H42+I42</f>
        <v>0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1"/>
        <v>0</v>
      </c>
      <c r="H43" s="182">
        <f t="shared" si="12"/>
        <v>0</v>
      </c>
      <c r="I43" s="182">
        <f t="shared" si="13"/>
        <v>0</v>
      </c>
      <c r="K43" s="182">
        <f t="shared" si="14"/>
        <v>0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1"/>
        <v>0</v>
      </c>
      <c r="H44" s="182">
        <f t="shared" si="12"/>
        <v>0</v>
      </c>
      <c r="I44" s="182">
        <f t="shared" si="13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1"/>
        <v>0</v>
      </c>
      <c r="H45" s="182">
        <f t="shared" si="12"/>
        <v>0</v>
      </c>
      <c r="I45" s="182">
        <f t="shared" si="13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1"/>
        <v>0</v>
      </c>
      <c r="H46" s="182">
        <f t="shared" si="12"/>
        <v>0</v>
      </c>
      <c r="I46" s="182">
        <f t="shared" si="13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1"/>
        <v>0</v>
      </c>
      <c r="H47" s="182">
        <f t="shared" si="12"/>
        <v>0</v>
      </c>
      <c r="I47" s="182">
        <f t="shared" si="13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1"/>
        <v>0</v>
      </c>
      <c r="H48" s="182">
        <f t="shared" si="12"/>
        <v>0</v>
      </c>
      <c r="I48" s="182">
        <f t="shared" si="13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1"/>
        <v>0</v>
      </c>
      <c r="H49" s="182">
        <f t="shared" si="12"/>
        <v>0</v>
      </c>
      <c r="I49" s="182">
        <f t="shared" si="13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1"/>
        <v>0</v>
      </c>
      <c r="H50" s="182">
        <f t="shared" si="12"/>
        <v>0</v>
      </c>
      <c r="I50" s="182">
        <f t="shared" si="13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  <v>4579</v>
      </c>
      <c r="H54" s="178">
        <f>IF(G54="",0,1)</f>
        <v>1</v>
      </c>
    </row>
    <row r="55" spans="7:8" ht="12.75" hidden="1">
      <c r="G55" s="182">
        <f aca="true" t="shared" si="15" ref="G55:G63">IF(G16="","",I$4-G16)</f>
        <v>4617</v>
      </c>
      <c r="H55" s="178">
        <f aca="true" t="shared" si="16" ref="H55:H63">IF(G55="",0,1)</f>
        <v>1</v>
      </c>
    </row>
    <row r="56" spans="7:8" ht="12.75" hidden="1">
      <c r="G56" s="182">
        <f t="shared" si="15"/>
        <v>4524</v>
      </c>
      <c r="H56" s="178">
        <f t="shared" si="16"/>
        <v>1</v>
      </c>
    </row>
    <row r="57" spans="7:8" ht="12.75" hidden="1">
      <c r="G57" s="182">
        <f t="shared" si="15"/>
        <v>4519</v>
      </c>
      <c r="H57" s="178">
        <f t="shared" si="16"/>
        <v>1</v>
      </c>
    </row>
    <row r="58" spans="7:8" ht="12.75" hidden="1">
      <c r="G58" s="182">
        <f t="shared" si="15"/>
        <v>4681</v>
      </c>
      <c r="H58" s="178">
        <f t="shared" si="16"/>
        <v>1</v>
      </c>
    </row>
    <row r="59" spans="7:8" ht="12.75" hidden="1">
      <c r="G59" s="182">
        <f t="shared" si="15"/>
        <v>4273</v>
      </c>
      <c r="H59" s="178">
        <f t="shared" si="16"/>
        <v>1</v>
      </c>
    </row>
    <row r="60" spans="7:8" ht="12.75" hidden="1">
      <c r="G60" s="182">
        <f t="shared" si="15"/>
        <v>3838</v>
      </c>
      <c r="H60" s="178">
        <f t="shared" si="16"/>
        <v>1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7</v>
      </c>
    </row>
    <row r="65" ht="12.75" hidden="1">
      <c r="G65" s="248">
        <f>IF(H64=0,"",SUM(G54:G63)/365/H64)</f>
        <v>12.145205479452056</v>
      </c>
    </row>
    <row r="66" ht="12.75" hidden="1"/>
  </sheetData>
  <sheetProtection sheet="1" objects="1" scenarios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1" stopIfTrue="1">
      <formula>$G41=2</formula>
    </cfRule>
    <cfRule type="expression" priority="2" dxfId="1" stopIfTrue="1">
      <formula>$K41=2</formula>
    </cfRule>
    <cfRule type="expression" priority="3" dxfId="0" stopIfTrue="1">
      <formula>$O29&lt;0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Z65"/>
  <sheetViews>
    <sheetView zoomScalePageLayoutView="0" workbookViewId="0" topLeftCell="A5">
      <selection activeCell="L17" sqref="L17:M17"/>
    </sheetView>
  </sheetViews>
  <sheetFormatPr defaultColWidth="11.421875" defaultRowHeight="12.75"/>
  <cols>
    <col min="1" max="3" width="6.7109375" style="178" customWidth="1"/>
    <col min="4" max="9" width="11.421875" style="178" customWidth="1"/>
    <col min="10" max="10" width="2.28125" style="178" customWidth="1"/>
    <col min="11" max="16384" width="11.421875" style="178" customWidth="1"/>
  </cols>
  <sheetData>
    <row r="1" spans="5:13" s="203" customFormat="1" ht="33.75" customHeight="1">
      <c r="E1" s="811" t="s">
        <v>112</v>
      </c>
      <c r="F1" s="811"/>
      <c r="G1" s="811"/>
      <c r="H1" s="811"/>
      <c r="I1" s="811"/>
      <c r="J1" s="811"/>
      <c r="K1" s="811"/>
      <c r="L1" s="811"/>
      <c r="M1" s="811"/>
    </row>
    <row r="2" spans="5:13" s="203" customFormat="1" ht="21" customHeight="1">
      <c r="E2" s="1056" t="str">
        <f>IF(Mannschaften!D2="","",Mannschaften!D2)</f>
        <v>Ostdeutsche Meisterschaft der männl. Jugend 14 Halle 13/14</v>
      </c>
      <c r="F2" s="1056"/>
      <c r="G2" s="1056"/>
      <c r="H2" s="1056"/>
      <c r="I2" s="1056"/>
      <c r="J2" s="1056"/>
      <c r="K2" s="1056"/>
      <c r="L2" s="1056"/>
      <c r="M2" s="1056"/>
    </row>
    <row r="3" s="203" customFormat="1" ht="13.5" customHeight="1"/>
    <row r="4" spans="4:26" s="203" customFormat="1" ht="23.25" customHeight="1">
      <c r="D4" s="204"/>
      <c r="E4" s="777" t="str">
        <f>IF(Mannschaften!F4="","",Mannschaften!F4)</f>
        <v>Berlin</v>
      </c>
      <c r="F4" s="777"/>
      <c r="G4" s="777"/>
      <c r="H4" s="777"/>
      <c r="I4" s="185">
        <f>Mannschaften!K4</f>
        <v>41692</v>
      </c>
      <c r="J4" s="205" t="s">
        <v>92</v>
      </c>
      <c r="K4" s="185">
        <f>Mannschaften!M4</f>
        <v>41693</v>
      </c>
      <c r="M4" s="204"/>
      <c r="W4" s="204"/>
      <c r="X4" s="204"/>
      <c r="Y4" s="204"/>
      <c r="Z4" s="204"/>
    </row>
    <row r="5" spans="4:26" s="203" customFormat="1" ht="16.5" customHeight="1">
      <c r="D5" s="204"/>
      <c r="E5" s="184"/>
      <c r="F5" s="184"/>
      <c r="G5" s="184"/>
      <c r="H5" s="184"/>
      <c r="I5" s="206"/>
      <c r="J5" s="205"/>
      <c r="K5" s="206"/>
      <c r="M5" s="204"/>
      <c r="W5" s="204"/>
      <c r="X5" s="204"/>
      <c r="Y5" s="204"/>
      <c r="Z5" s="204"/>
    </row>
    <row r="6" spans="6:9" s="203" customFormat="1" ht="23.25" customHeight="1">
      <c r="F6" s="186"/>
      <c r="G6" s="186" t="str">
        <f>Mannschaften!A5</f>
        <v>Ausrichter:     </v>
      </c>
      <c r="H6" s="186"/>
      <c r="I6" s="186" t="str">
        <f>IF(Mannschaften!I5="","",Mannschaften!I5)</f>
        <v>Berliner Turnerschaft</v>
      </c>
    </row>
    <row r="7" spans="6:9" s="203" customFormat="1" ht="12.75" customHeight="1">
      <c r="F7" s="186"/>
      <c r="G7" s="186"/>
      <c r="H7" s="186"/>
      <c r="I7" s="186"/>
    </row>
    <row r="8" spans="1:15" s="203" customFormat="1" ht="21" customHeight="1">
      <c r="A8" s="1057" t="s">
        <v>114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  <c r="N8" s="1057"/>
      <c r="O8" s="1057"/>
    </row>
    <row r="9" spans="1:15" s="203" customFormat="1" ht="6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203" customFormat="1" ht="26.25">
      <c r="A10" s="186" t="s">
        <v>13</v>
      </c>
      <c r="B10" s="186"/>
      <c r="C10" s="186"/>
      <c r="D10" s="1055" t="str">
        <f>Mannschaften!I145</f>
        <v>SG Stern Kaulsdorf</v>
      </c>
      <c r="E10" s="1055"/>
      <c r="F10" s="1055"/>
      <c r="G10" s="1055"/>
      <c r="H10" s="1055"/>
      <c r="I10" s="186"/>
      <c r="J10" s="777"/>
      <c r="K10" s="777"/>
      <c r="L10" s="777"/>
      <c r="M10" s="777"/>
      <c r="N10" s="777"/>
      <c r="O10" s="777"/>
    </row>
    <row r="11" s="203" customFormat="1" ht="6" customHeight="1"/>
    <row r="12" spans="6:14" s="203" customFormat="1" ht="18">
      <c r="F12" s="186" t="s">
        <v>141</v>
      </c>
      <c r="G12" s="184" t="str">
        <f>Mannschaften!H3</f>
        <v>M U14</v>
      </c>
      <c r="H12" s="186"/>
      <c r="I12" s="186" t="s">
        <v>118</v>
      </c>
      <c r="L12" s="188" t="str">
        <f>IF(Mannschaften!N3="","",Mannschaften!N3)</f>
        <v>01.07.</v>
      </c>
      <c r="M12" s="189">
        <f>IF(Mannschaften!O3="","",Mannschaften!O3)</f>
        <v>1999</v>
      </c>
      <c r="N12" s="186"/>
    </row>
    <row r="13" s="203" customFormat="1" ht="13.5" thickBot="1"/>
    <row r="14" spans="1:15" s="203" customFormat="1" ht="24.75" customHeight="1" thickBot="1">
      <c r="A14" s="190"/>
      <c r="B14" s="208" t="s">
        <v>89</v>
      </c>
      <c r="C14" s="208" t="s">
        <v>18</v>
      </c>
      <c r="D14" s="1085" t="s">
        <v>20</v>
      </c>
      <c r="E14" s="1085"/>
      <c r="F14" s="1085"/>
      <c r="G14" s="1085" t="s">
        <v>115</v>
      </c>
      <c r="H14" s="1085"/>
      <c r="I14" s="1085" t="s">
        <v>140</v>
      </c>
      <c r="J14" s="1085"/>
      <c r="K14" s="1085"/>
      <c r="L14" s="192" t="s">
        <v>116</v>
      </c>
      <c r="M14" s="192"/>
      <c r="N14" s="1085" t="s">
        <v>117</v>
      </c>
      <c r="O14" s="1085"/>
    </row>
    <row r="15" spans="1:15" ht="24.75" customHeight="1">
      <c r="A15" s="193">
        <v>1</v>
      </c>
      <c r="B15" s="179"/>
      <c r="C15" s="179"/>
      <c r="D15" s="1072" t="s">
        <v>621</v>
      </c>
      <c r="E15" s="1073"/>
      <c r="F15" s="1074"/>
      <c r="G15" s="1075">
        <v>36851</v>
      </c>
      <c r="H15" s="1076"/>
      <c r="I15" s="1077">
        <v>5195</v>
      </c>
      <c r="J15" s="1078"/>
      <c r="K15" s="1079"/>
      <c r="L15" s="1080" t="s">
        <v>592</v>
      </c>
      <c r="M15" s="1081"/>
      <c r="N15" s="1058"/>
      <c r="O15" s="1059"/>
    </row>
    <row r="16" spans="1:15" ht="24.75" customHeight="1">
      <c r="A16" s="194">
        <v>2</v>
      </c>
      <c r="B16" s="180"/>
      <c r="C16" s="180"/>
      <c r="D16" s="1060" t="s">
        <v>622</v>
      </c>
      <c r="E16" s="1061"/>
      <c r="F16" s="1062"/>
      <c r="G16" s="1063">
        <v>36700</v>
      </c>
      <c r="H16" s="1064"/>
      <c r="I16" s="1065">
        <v>5192</v>
      </c>
      <c r="J16" s="1066"/>
      <c r="K16" s="1067"/>
      <c r="L16" s="1068" t="s">
        <v>592</v>
      </c>
      <c r="M16" s="1069"/>
      <c r="N16" s="1070"/>
      <c r="O16" s="1071"/>
    </row>
    <row r="17" spans="1:15" ht="24.75" customHeight="1">
      <c r="A17" s="194">
        <v>3</v>
      </c>
      <c r="B17" s="180"/>
      <c r="C17" s="180"/>
      <c r="D17" s="1060" t="s">
        <v>623</v>
      </c>
      <c r="E17" s="1061"/>
      <c r="F17" s="1062"/>
      <c r="G17" s="1063">
        <v>36548</v>
      </c>
      <c r="H17" s="1064"/>
      <c r="I17" s="1065">
        <v>5196</v>
      </c>
      <c r="J17" s="1066"/>
      <c r="K17" s="1067"/>
      <c r="L17" s="1068" t="s">
        <v>592</v>
      </c>
      <c r="M17" s="1069"/>
      <c r="N17" s="1070"/>
      <c r="O17" s="1071"/>
    </row>
    <row r="18" spans="1:15" ht="24.75" customHeight="1">
      <c r="A18" s="194">
        <v>4</v>
      </c>
      <c r="B18" s="180"/>
      <c r="C18" s="180"/>
      <c r="D18" s="1060" t="s">
        <v>624</v>
      </c>
      <c r="E18" s="1061"/>
      <c r="F18" s="1062"/>
      <c r="G18" s="1063">
        <v>36800</v>
      </c>
      <c r="H18" s="1064"/>
      <c r="I18" s="1065">
        <v>5194</v>
      </c>
      <c r="J18" s="1066"/>
      <c r="K18" s="1067"/>
      <c r="L18" s="1068" t="s">
        <v>592</v>
      </c>
      <c r="M18" s="1069"/>
      <c r="N18" s="1070"/>
      <c r="O18" s="1071"/>
    </row>
    <row r="19" spans="1:15" ht="24.75" customHeight="1">
      <c r="A19" s="194">
        <v>5</v>
      </c>
      <c r="B19" s="180"/>
      <c r="C19" s="180"/>
      <c r="D19" s="1060"/>
      <c r="E19" s="1061"/>
      <c r="F19" s="1062"/>
      <c r="G19" s="1063"/>
      <c r="H19" s="1064"/>
      <c r="I19" s="1065"/>
      <c r="J19" s="1066"/>
      <c r="K19" s="1067"/>
      <c r="L19" s="1068"/>
      <c r="M19" s="1069"/>
      <c r="N19" s="1070"/>
      <c r="O19" s="1071"/>
    </row>
    <row r="20" spans="1:15" ht="24.75" customHeight="1">
      <c r="A20" s="194">
        <v>6</v>
      </c>
      <c r="B20" s="180"/>
      <c r="C20" s="180"/>
      <c r="D20" s="1060"/>
      <c r="E20" s="1061"/>
      <c r="F20" s="1062"/>
      <c r="G20" s="1063"/>
      <c r="H20" s="1064"/>
      <c r="I20" s="1065"/>
      <c r="J20" s="1066"/>
      <c r="K20" s="1067"/>
      <c r="L20" s="1068"/>
      <c r="M20" s="1069"/>
      <c r="N20" s="1070"/>
      <c r="O20" s="1071"/>
    </row>
    <row r="21" spans="1:15" ht="24.75" customHeight="1">
      <c r="A21" s="194">
        <v>7</v>
      </c>
      <c r="B21" s="180"/>
      <c r="C21" s="180"/>
      <c r="D21" s="1060"/>
      <c r="E21" s="1061"/>
      <c r="F21" s="1062"/>
      <c r="G21" s="1063"/>
      <c r="H21" s="1064"/>
      <c r="I21" s="1065"/>
      <c r="J21" s="1066"/>
      <c r="K21" s="1067"/>
      <c r="L21" s="1068"/>
      <c r="M21" s="1069"/>
      <c r="N21" s="1070"/>
      <c r="O21" s="1071"/>
    </row>
    <row r="22" spans="1:15" ht="24.75" customHeight="1">
      <c r="A22" s="194">
        <v>8</v>
      </c>
      <c r="B22" s="180"/>
      <c r="C22" s="180"/>
      <c r="D22" s="1060"/>
      <c r="E22" s="1061"/>
      <c r="F22" s="1062"/>
      <c r="G22" s="1063"/>
      <c r="H22" s="1064"/>
      <c r="I22" s="1065"/>
      <c r="J22" s="1066"/>
      <c r="K22" s="1067"/>
      <c r="L22" s="1068"/>
      <c r="M22" s="1069"/>
      <c r="N22" s="1070"/>
      <c r="O22" s="1071"/>
    </row>
    <row r="23" spans="1:15" ht="24.75" customHeight="1">
      <c r="A23" s="194">
        <v>9</v>
      </c>
      <c r="B23" s="180"/>
      <c r="C23" s="180"/>
      <c r="D23" s="1060"/>
      <c r="E23" s="1061"/>
      <c r="F23" s="1062"/>
      <c r="G23" s="1063"/>
      <c r="H23" s="1064"/>
      <c r="I23" s="1065"/>
      <c r="J23" s="1066"/>
      <c r="K23" s="1067"/>
      <c r="L23" s="1068"/>
      <c r="M23" s="1069"/>
      <c r="N23" s="1070"/>
      <c r="O23" s="1071"/>
    </row>
    <row r="24" spans="1:15" ht="24.75" customHeight="1" thickBot="1">
      <c r="A24" s="195">
        <v>10</v>
      </c>
      <c r="B24" s="181"/>
      <c r="C24" s="181"/>
      <c r="D24" s="1086"/>
      <c r="E24" s="1087"/>
      <c r="F24" s="1088"/>
      <c r="G24" s="1089"/>
      <c r="H24" s="1090"/>
      <c r="I24" s="1091"/>
      <c r="J24" s="1092"/>
      <c r="K24" s="1093"/>
      <c r="L24" s="1094"/>
      <c r="M24" s="1095"/>
      <c r="N24" s="1096"/>
      <c r="O24" s="1097"/>
    </row>
    <row r="25" spans="1:15" ht="24.75" customHeight="1">
      <c r="A25" s="196" t="s">
        <v>39</v>
      </c>
      <c r="B25" s="179"/>
      <c r="C25" s="179"/>
      <c r="D25" s="1072"/>
      <c r="E25" s="1073"/>
      <c r="F25" s="1074"/>
      <c r="G25" s="1075"/>
      <c r="H25" s="1076"/>
      <c r="I25" s="1103"/>
      <c r="J25" s="1104"/>
      <c r="K25" s="1105"/>
      <c r="L25" s="1106"/>
      <c r="M25" s="1107"/>
      <c r="N25" s="1058"/>
      <c r="O25" s="1059"/>
    </row>
    <row r="26" spans="1:15" ht="24.75" customHeight="1" thickBot="1">
      <c r="A26" s="197" t="s">
        <v>40</v>
      </c>
      <c r="B26" s="181"/>
      <c r="C26" s="181"/>
      <c r="D26" s="1086"/>
      <c r="E26" s="1087"/>
      <c r="F26" s="1088"/>
      <c r="G26" s="1089"/>
      <c r="H26" s="1090"/>
      <c r="I26" s="1098"/>
      <c r="J26" s="1099"/>
      <c r="K26" s="1100"/>
      <c r="L26" s="1101"/>
      <c r="M26" s="1102"/>
      <c r="N26" s="1096"/>
      <c r="O26" s="1097"/>
    </row>
    <row r="27" spans="1:15" ht="24.75" customHeight="1" thickBot="1">
      <c r="A27" s="243" t="s">
        <v>231</v>
      </c>
      <c r="B27" s="244"/>
      <c r="C27" s="244"/>
      <c r="D27" s="244"/>
      <c r="E27" s="244"/>
      <c r="F27" s="245"/>
      <c r="G27" s="246">
        <f>G65</f>
        <v>13.60890410958904</v>
      </c>
      <c r="H27" s="247" t="s">
        <v>232</v>
      </c>
      <c r="I27" s="244"/>
      <c r="J27" s="244"/>
      <c r="K27" s="244"/>
      <c r="L27" s="244"/>
      <c r="M27" s="244"/>
      <c r="N27" s="244"/>
      <c r="O27" s="245"/>
    </row>
    <row r="28" spans="11:13" ht="12.75" hidden="1">
      <c r="K28" s="182">
        <f>IF(L12="31.12.",31,IF(L12="01.01.",1,IF(L12="01.07.",1,30)))</f>
        <v>1</v>
      </c>
      <c r="L28" s="182">
        <f>IF(L12="31.12.",12,IF(L12="01.01.",1,IF(L12="01.07.",7,6)))</f>
        <v>7</v>
      </c>
      <c r="M28" s="182">
        <f>M12</f>
        <v>1999</v>
      </c>
    </row>
    <row r="29" spans="4:15" ht="12.75" hidden="1">
      <c r="D29" s="183">
        <f>IF(G15="","",G15)</f>
        <v>36851</v>
      </c>
      <c r="E29" s="183">
        <f>IF(D29="","",D29+1)</f>
        <v>36852</v>
      </c>
      <c r="F29" s="182">
        <f>IF(D29="","",DAY(D29))</f>
        <v>21</v>
      </c>
      <c r="G29" s="182">
        <f>IF(D29="","",MONTH(D29))</f>
        <v>11</v>
      </c>
      <c r="H29" s="178">
        <f>IF(D29="","",YEAR(D29))</f>
        <v>2000</v>
      </c>
      <c r="K29" s="178">
        <f>IF(D29="","",$K$28-F29)</f>
        <v>-20</v>
      </c>
      <c r="L29" s="178">
        <f>IF(D29="","",$L$28-G29)</f>
        <v>-4</v>
      </c>
      <c r="M29" s="178">
        <f>IF(D29="","",$M$28-H29)</f>
        <v>-1</v>
      </c>
      <c r="N29" s="178">
        <f>K29+(L29*100)+(M29*10000)</f>
        <v>-10420</v>
      </c>
      <c r="O29" s="178">
        <f>IF(Mannschaften!H$3=Mannschaften!K$166,N29,IF(Mannschaften!H$3=Mannschaften!K$167,N29,IF(Mannschaften!H$3=Mannschaften!K$168,N29,IF(Mannschaften!H$3=Mannschaften!K$169,N29,IF(Mannschaften!H$3=Mannschaften!K$170,N29,N29*-1)))))</f>
        <v>10420</v>
      </c>
    </row>
    <row r="30" spans="4:15" ht="12.75" hidden="1">
      <c r="D30" s="183">
        <f aca="true" t="shared" si="0" ref="D30:D38">IF(G16="","",G16)</f>
        <v>36700</v>
      </c>
      <c r="E30" s="183">
        <f aca="true" t="shared" si="1" ref="E30:E38">IF(D30="","",D30+1)</f>
        <v>36701</v>
      </c>
      <c r="F30" s="182">
        <f aca="true" t="shared" si="2" ref="F30:F38">IF(D30="","",DAY(D30))</f>
        <v>23</v>
      </c>
      <c r="G30" s="182">
        <f aca="true" t="shared" si="3" ref="G30:G38">IF(D30="","",MONTH(D30))</f>
        <v>6</v>
      </c>
      <c r="H30" s="178">
        <f aca="true" t="shared" si="4" ref="H30:H38">IF(D30="","",YEAR(D30))</f>
        <v>2000</v>
      </c>
      <c r="K30" s="178">
        <f aca="true" t="shared" si="5" ref="K30:K35">IF(D30="","",$K$28-F30)</f>
        <v>-22</v>
      </c>
      <c r="L30" s="178">
        <f aca="true" t="shared" si="6" ref="L30:L35">IF(D30="","",$L$28-G30)</f>
        <v>1</v>
      </c>
      <c r="M30" s="178">
        <f aca="true" t="shared" si="7" ref="M30:M35">IF(D30="","",$M$28-H30)</f>
        <v>-1</v>
      </c>
      <c r="N30" s="178">
        <f aca="true" t="shared" si="8" ref="N30:N35">K30+(L30*100)+(M30*10000)</f>
        <v>-9922</v>
      </c>
      <c r="O30" s="178">
        <f>IF(Mannschaften!H$3=Mannschaften!K$166,N30,IF(Mannschaften!H$3=Mannschaften!K$167,N30,IF(Mannschaften!H$3=Mannschaften!K$168,N30,IF(Mannschaften!H$3=Mannschaften!K$169,N30,IF(Mannschaften!H$3=Mannschaften!K$170,N30,N30*-1)))))</f>
        <v>9922</v>
      </c>
    </row>
    <row r="31" spans="4:15" ht="12.75" hidden="1">
      <c r="D31" s="183">
        <f t="shared" si="0"/>
        <v>36548</v>
      </c>
      <c r="E31" s="183">
        <f t="shared" si="1"/>
        <v>36549</v>
      </c>
      <c r="F31" s="182">
        <f t="shared" si="2"/>
        <v>23</v>
      </c>
      <c r="G31" s="182">
        <f t="shared" si="3"/>
        <v>1</v>
      </c>
      <c r="H31" s="178">
        <f t="shared" si="4"/>
        <v>2000</v>
      </c>
      <c r="K31" s="178">
        <f t="shared" si="5"/>
        <v>-22</v>
      </c>
      <c r="L31" s="178">
        <f t="shared" si="6"/>
        <v>6</v>
      </c>
      <c r="M31" s="178">
        <f t="shared" si="7"/>
        <v>-1</v>
      </c>
      <c r="N31" s="178">
        <f t="shared" si="8"/>
        <v>-9422</v>
      </c>
      <c r="O31" s="178">
        <f>IF(Mannschaften!H$3=Mannschaften!K$166,N31,IF(Mannschaften!H$3=Mannschaften!K$167,N31,IF(Mannschaften!H$3=Mannschaften!K$168,N31,IF(Mannschaften!H$3=Mannschaften!K$169,N31,IF(Mannschaften!H$3=Mannschaften!K$170,N31,N31*-1)))))</f>
        <v>9422</v>
      </c>
    </row>
    <row r="32" spans="4:15" ht="12.75" hidden="1">
      <c r="D32" s="183">
        <f t="shared" si="0"/>
        <v>36800</v>
      </c>
      <c r="E32" s="183">
        <f t="shared" si="1"/>
        <v>36801</v>
      </c>
      <c r="F32" s="182">
        <f t="shared" si="2"/>
        <v>1</v>
      </c>
      <c r="G32" s="182">
        <f t="shared" si="3"/>
        <v>10</v>
      </c>
      <c r="H32" s="178">
        <f t="shared" si="4"/>
        <v>2000</v>
      </c>
      <c r="K32" s="178">
        <f t="shared" si="5"/>
        <v>0</v>
      </c>
      <c r="L32" s="178">
        <f t="shared" si="6"/>
        <v>-3</v>
      </c>
      <c r="M32" s="178">
        <f t="shared" si="7"/>
        <v>-1</v>
      </c>
      <c r="N32" s="178">
        <f t="shared" si="8"/>
        <v>-10300</v>
      </c>
      <c r="O32" s="178">
        <f>IF(Mannschaften!H$3=Mannschaften!K$166,N32,IF(Mannschaften!H$3=Mannschaften!K$167,N32,IF(Mannschaften!H$3=Mannschaften!K$168,N32,IF(Mannschaften!H$3=Mannschaften!K$169,N32,IF(Mannschaften!H$3=Mannschaften!K$170,N32,N32*-1)))))</f>
        <v>10300</v>
      </c>
    </row>
    <row r="33" spans="4:15" ht="12.75" hidden="1">
      <c r="D33" s="183">
        <f t="shared" si="0"/>
      </c>
      <c r="E33" s="183">
        <f t="shared" si="1"/>
      </c>
      <c r="F33" s="182">
        <f t="shared" si="2"/>
      </c>
      <c r="G33" s="182">
        <f t="shared" si="3"/>
      </c>
      <c r="H33" s="178">
        <f t="shared" si="4"/>
      </c>
      <c r="K33" s="178">
        <f t="shared" si="5"/>
      </c>
      <c r="L33" s="178">
        <f t="shared" si="6"/>
      </c>
      <c r="M33" s="178">
        <f t="shared" si="7"/>
      </c>
      <c r="N33" s="178" t="e">
        <f t="shared" si="8"/>
        <v>#VALUE!</v>
      </c>
      <c r="O33" s="178" t="e">
        <f>IF(Mannschaften!H$3=Mannschaften!K$166,N33,IF(Mannschaften!H$3=Mannschaften!K$167,N33,IF(Mannschaften!H$3=Mannschaften!K$168,N33,IF(Mannschaften!H$3=Mannschaften!K$169,N33,IF(Mannschaften!H$3=Mannschaften!K$170,N33,N33*-1)))))</f>
        <v>#VALUE!</v>
      </c>
    </row>
    <row r="34" spans="4:15" ht="12.75" hidden="1">
      <c r="D34" s="183">
        <f>IF(G20="","",G20)</f>
      </c>
      <c r="E34" s="183">
        <f t="shared" si="1"/>
      </c>
      <c r="F34" s="182">
        <f t="shared" si="2"/>
      </c>
      <c r="G34" s="182">
        <f t="shared" si="3"/>
      </c>
      <c r="H34" s="178">
        <f t="shared" si="4"/>
      </c>
      <c r="K34" s="178">
        <f t="shared" si="5"/>
      </c>
      <c r="L34" s="178">
        <f t="shared" si="6"/>
      </c>
      <c r="M34" s="178">
        <f t="shared" si="7"/>
      </c>
      <c r="N34" s="178" t="e">
        <f t="shared" si="8"/>
        <v>#VALUE!</v>
      </c>
      <c r="O34" s="178" t="e">
        <f>IF(Mannschaften!H$3=Mannschaften!K$166,N34,IF(Mannschaften!H$3=Mannschaften!K$167,N34,IF(Mannschaften!H$3=Mannschaften!K$168,N34,IF(Mannschaften!H$3=Mannschaften!K$169,N34,IF(Mannschaften!H$3=Mannschaften!K$170,N34,N34*-1)))))</f>
        <v>#VALUE!</v>
      </c>
    </row>
    <row r="35" spans="4:15" ht="12.75" hidden="1">
      <c r="D35" s="183">
        <f>IF(G21="","",G21)</f>
      </c>
      <c r="E35" s="183">
        <f t="shared" si="1"/>
      </c>
      <c r="F35" s="182">
        <f t="shared" si="2"/>
      </c>
      <c r="G35" s="182">
        <f t="shared" si="3"/>
      </c>
      <c r="H35" s="178">
        <f t="shared" si="4"/>
      </c>
      <c r="K35" s="178">
        <f t="shared" si="5"/>
      </c>
      <c r="L35" s="178">
        <f t="shared" si="6"/>
      </c>
      <c r="M35" s="178">
        <f t="shared" si="7"/>
      </c>
      <c r="N35" s="178" t="e">
        <f t="shared" si="8"/>
        <v>#VALUE!</v>
      </c>
      <c r="O35" s="178" t="e">
        <f>IF(Mannschaften!H$3=Mannschaften!K$166,N35,IF(Mannschaften!H$3=Mannschaften!K$167,N35,IF(Mannschaften!H$3=Mannschaften!K$168,N35,IF(Mannschaften!H$3=Mannschaften!K$169,N35,IF(Mannschaften!H$3=Mannschaften!K$170,N35,N35*-1)))))</f>
        <v>#VALUE!</v>
      </c>
    </row>
    <row r="36" spans="4:15" ht="12.75" hidden="1">
      <c r="D36" s="183">
        <f t="shared" si="0"/>
      </c>
      <c r="E36" s="183">
        <f t="shared" si="1"/>
      </c>
      <c r="F36" s="182">
        <f t="shared" si="2"/>
      </c>
      <c r="G36" s="182">
        <f t="shared" si="3"/>
      </c>
      <c r="H36" s="178">
        <f t="shared" si="4"/>
      </c>
      <c r="K36" s="178">
        <f>IF(D36="","",$K$28-F36)</f>
      </c>
      <c r="L36" s="178">
        <f>IF(D36="","",$L$28-G36)</f>
      </c>
      <c r="M36" s="178">
        <f>IF(D36="","",$M$28-H36)</f>
      </c>
      <c r="N36" s="178" t="e">
        <f>K36+(L36*100)+(M36*10000)</f>
        <v>#VALUE!</v>
      </c>
      <c r="O36" s="178" t="e">
        <f>IF(Mannschaften!H$3=Mannschaften!K$166,N36,IF(Mannschaften!H$3=Mannschaften!K$167,N36,IF(Mannschaften!H$3=Mannschaften!K$168,N36,IF(Mannschaften!H$3=Mannschaften!K$169,N36,IF(Mannschaften!H$3=Mannschaften!K$170,N36,N36*-1)))))</f>
        <v>#VALUE!</v>
      </c>
    </row>
    <row r="37" spans="4:15" ht="12.75" hidden="1">
      <c r="D37" s="183">
        <f t="shared" si="0"/>
      </c>
      <c r="E37" s="183">
        <f t="shared" si="1"/>
      </c>
      <c r="F37" s="182">
        <f t="shared" si="2"/>
      </c>
      <c r="G37" s="182">
        <f t="shared" si="3"/>
      </c>
      <c r="H37" s="178">
        <f t="shared" si="4"/>
      </c>
      <c r="K37" s="178">
        <f>IF(D37="","",$K$28-F37)</f>
      </c>
      <c r="L37" s="178">
        <f>IF(D37="","",$L$28-G37)</f>
      </c>
      <c r="M37" s="178">
        <f>IF(D37="","",$M$28-H37)</f>
      </c>
      <c r="N37" s="178" t="e">
        <f>K37+(L37*100)+(M37*10000)</f>
        <v>#VALUE!</v>
      </c>
      <c r="O37" s="178" t="e">
        <f>IF(Mannschaften!H$3=Mannschaften!K$166,N37,IF(Mannschaften!H$3=Mannschaften!K$167,N37,IF(Mannschaften!H$3=Mannschaften!K$168,N37,IF(Mannschaften!H$3=Mannschaften!K$169,N37,IF(Mannschaften!H$3=Mannschaften!K$170,N37,N37*-1)))))</f>
        <v>#VALUE!</v>
      </c>
    </row>
    <row r="38" spans="4:15" ht="12.75" hidden="1">
      <c r="D38" s="183">
        <f t="shared" si="0"/>
      </c>
      <c r="E38" s="183">
        <f t="shared" si="1"/>
      </c>
      <c r="F38" s="182">
        <f t="shared" si="2"/>
      </c>
      <c r="G38" s="182">
        <f t="shared" si="3"/>
      </c>
      <c r="H38" s="178">
        <f t="shared" si="4"/>
      </c>
      <c r="K38" s="178">
        <f>IF(D38="","",$K$28-F38)</f>
      </c>
      <c r="L38" s="178">
        <f>IF(D38="","",$L$28-G38)</f>
      </c>
      <c r="M38" s="178">
        <f>IF(D38="","",$M$28-H38)</f>
      </c>
      <c r="N38" s="178" t="e">
        <f>K38+(L38*100)+(M38*10000)</f>
        <v>#VALUE!</v>
      </c>
      <c r="O38" s="178" t="e">
        <f>IF(Mannschaften!H$3=Mannschaften!K$166,N38,IF(Mannschaften!H$3=Mannschaften!K$167,N38,IF(Mannschaften!H$3=Mannschaften!K$168,N38,IF(Mannschaften!H$3=Mannschaften!K$169,N38,IF(Mannschaften!H$3=Mannschaften!K$170,N38,N38*-1)))))</f>
        <v>#VALUE!</v>
      </c>
    </row>
    <row r="39" ht="12.75" hidden="1"/>
    <row r="40" spans="4:9" ht="12.75" hidden="1">
      <c r="D40" s="178">
        <f>DAY(Mannschaften!K4)</f>
        <v>22</v>
      </c>
      <c r="E40" s="178">
        <f>MONTH(Mannschaften!K4)</f>
        <v>2</v>
      </c>
      <c r="H40" s="178">
        <f>DAY(Mannschaften!M4)</f>
        <v>23</v>
      </c>
      <c r="I40" s="178">
        <f>MONTH(Mannschaften!M4)</f>
        <v>2</v>
      </c>
    </row>
    <row r="41" spans="4:11" ht="12.75" hidden="1">
      <c r="D41" s="182">
        <f>IF($D$40=F29,1,0)</f>
        <v>0</v>
      </c>
      <c r="E41" s="182">
        <f>IF($E$40=G29,1,0)</f>
        <v>0</v>
      </c>
      <c r="F41" s="182"/>
      <c r="G41" s="182">
        <f>D41+E41</f>
        <v>0</v>
      </c>
      <c r="H41" s="182">
        <f>IF($H$40=F29,1,0)</f>
        <v>0</v>
      </c>
      <c r="I41" s="182">
        <f>IF($I$40=G29,1,0)</f>
        <v>0</v>
      </c>
      <c r="K41" s="182">
        <f>H41+I41</f>
        <v>0</v>
      </c>
    </row>
    <row r="42" spans="4:11" ht="12.75" hidden="1">
      <c r="D42" s="182">
        <f aca="true" t="shared" si="9" ref="D42:D50">IF($D$40=F30,1,0)</f>
        <v>0</v>
      </c>
      <c r="E42" s="182">
        <f aca="true" t="shared" si="10" ref="E42:E50">IF($E$40=G30,1,0)</f>
        <v>0</v>
      </c>
      <c r="F42" s="182"/>
      <c r="G42" s="182">
        <f aca="true" t="shared" si="11" ref="G42:G50">D42+E42</f>
        <v>0</v>
      </c>
      <c r="H42" s="182">
        <f aca="true" t="shared" si="12" ref="H42:H50">IF($H$40=F30,1,0)</f>
        <v>1</v>
      </c>
      <c r="I42" s="182">
        <f aca="true" t="shared" si="13" ref="I42:I50">IF($I$40=G30,1,0)</f>
        <v>0</v>
      </c>
      <c r="K42" s="182">
        <f aca="true" t="shared" si="14" ref="K42:K50">H42+I42</f>
        <v>1</v>
      </c>
    </row>
    <row r="43" spans="4:11" ht="12.75" hidden="1">
      <c r="D43" s="182">
        <f t="shared" si="9"/>
        <v>0</v>
      </c>
      <c r="E43" s="182">
        <f t="shared" si="10"/>
        <v>0</v>
      </c>
      <c r="F43" s="182"/>
      <c r="G43" s="182">
        <f t="shared" si="11"/>
        <v>0</v>
      </c>
      <c r="H43" s="182">
        <f t="shared" si="12"/>
        <v>1</v>
      </c>
      <c r="I43" s="182">
        <f t="shared" si="13"/>
        <v>0</v>
      </c>
      <c r="K43" s="182">
        <f t="shared" si="14"/>
        <v>1</v>
      </c>
    </row>
    <row r="44" spans="4:11" ht="12.75" hidden="1">
      <c r="D44" s="182">
        <f t="shared" si="9"/>
        <v>0</v>
      </c>
      <c r="E44" s="182">
        <f t="shared" si="10"/>
        <v>0</v>
      </c>
      <c r="F44" s="182"/>
      <c r="G44" s="182">
        <f t="shared" si="11"/>
        <v>0</v>
      </c>
      <c r="H44" s="182">
        <f t="shared" si="12"/>
        <v>0</v>
      </c>
      <c r="I44" s="182">
        <f t="shared" si="13"/>
        <v>0</v>
      </c>
      <c r="K44" s="182">
        <f t="shared" si="14"/>
        <v>0</v>
      </c>
    </row>
    <row r="45" spans="4:11" ht="12.75" hidden="1">
      <c r="D45" s="182">
        <f t="shared" si="9"/>
        <v>0</v>
      </c>
      <c r="E45" s="182">
        <f t="shared" si="10"/>
        <v>0</v>
      </c>
      <c r="F45" s="182"/>
      <c r="G45" s="182">
        <f t="shared" si="11"/>
        <v>0</v>
      </c>
      <c r="H45" s="182">
        <f t="shared" si="12"/>
        <v>0</v>
      </c>
      <c r="I45" s="182">
        <f t="shared" si="13"/>
        <v>0</v>
      </c>
      <c r="K45" s="182">
        <f t="shared" si="14"/>
        <v>0</v>
      </c>
    </row>
    <row r="46" spans="4:11" ht="12.75" hidden="1">
      <c r="D46" s="182">
        <f t="shared" si="9"/>
        <v>0</v>
      </c>
      <c r="E46" s="182">
        <f t="shared" si="10"/>
        <v>0</v>
      </c>
      <c r="F46" s="182"/>
      <c r="G46" s="182">
        <f t="shared" si="11"/>
        <v>0</v>
      </c>
      <c r="H46" s="182">
        <f t="shared" si="12"/>
        <v>0</v>
      </c>
      <c r="I46" s="182">
        <f t="shared" si="13"/>
        <v>0</v>
      </c>
      <c r="K46" s="182">
        <f t="shared" si="14"/>
        <v>0</v>
      </c>
    </row>
    <row r="47" spans="4:11" ht="12.75" hidden="1">
      <c r="D47" s="182">
        <f t="shared" si="9"/>
        <v>0</v>
      </c>
      <c r="E47" s="182">
        <f t="shared" si="10"/>
        <v>0</v>
      </c>
      <c r="F47" s="182"/>
      <c r="G47" s="182">
        <f t="shared" si="11"/>
        <v>0</v>
      </c>
      <c r="H47" s="182">
        <f t="shared" si="12"/>
        <v>0</v>
      </c>
      <c r="I47" s="182">
        <f t="shared" si="13"/>
        <v>0</v>
      </c>
      <c r="K47" s="182">
        <f t="shared" si="14"/>
        <v>0</v>
      </c>
    </row>
    <row r="48" spans="4:11" ht="12.75" hidden="1">
      <c r="D48" s="182">
        <f t="shared" si="9"/>
        <v>0</v>
      </c>
      <c r="E48" s="182">
        <f t="shared" si="10"/>
        <v>0</v>
      </c>
      <c r="F48" s="182"/>
      <c r="G48" s="182">
        <f t="shared" si="11"/>
        <v>0</v>
      </c>
      <c r="H48" s="182">
        <f t="shared" si="12"/>
        <v>0</v>
      </c>
      <c r="I48" s="182">
        <f t="shared" si="13"/>
        <v>0</v>
      </c>
      <c r="K48" s="182">
        <f t="shared" si="14"/>
        <v>0</v>
      </c>
    </row>
    <row r="49" spans="4:11" ht="12.75" hidden="1">
      <c r="D49" s="182">
        <f t="shared" si="9"/>
        <v>0</v>
      </c>
      <c r="E49" s="182">
        <f t="shared" si="10"/>
        <v>0</v>
      </c>
      <c r="F49" s="182"/>
      <c r="G49" s="182">
        <f t="shared" si="11"/>
        <v>0</v>
      </c>
      <c r="H49" s="182">
        <f t="shared" si="12"/>
        <v>0</v>
      </c>
      <c r="I49" s="182">
        <f t="shared" si="13"/>
        <v>0</v>
      </c>
      <c r="K49" s="182">
        <f t="shared" si="14"/>
        <v>0</v>
      </c>
    </row>
    <row r="50" spans="4:11" ht="12.75" hidden="1">
      <c r="D50" s="182">
        <f t="shared" si="9"/>
        <v>0</v>
      </c>
      <c r="E50" s="182">
        <f t="shared" si="10"/>
        <v>0</v>
      </c>
      <c r="F50" s="182"/>
      <c r="G50" s="182">
        <f t="shared" si="11"/>
        <v>0</v>
      </c>
      <c r="H50" s="182">
        <f t="shared" si="12"/>
        <v>0</v>
      </c>
      <c r="I50" s="182">
        <f t="shared" si="13"/>
        <v>0</v>
      </c>
      <c r="K50" s="182">
        <f t="shared" si="14"/>
        <v>0</v>
      </c>
    </row>
    <row r="51" ht="12.75" hidden="1"/>
    <row r="52" ht="12.75" hidden="1"/>
    <row r="53" ht="12.75" hidden="1"/>
    <row r="54" spans="7:8" ht="12.75" hidden="1">
      <c r="G54" s="182">
        <f>IF(G15="","",I$4-G15)</f>
        <v>4841</v>
      </c>
      <c r="H54" s="178">
        <f>IF(G54="",0,1)</f>
        <v>1</v>
      </c>
    </row>
    <row r="55" spans="7:8" ht="12.75" hidden="1">
      <c r="G55" s="182">
        <f aca="true" t="shared" si="15" ref="G55:G63">IF(G16="","",I$4-G16)</f>
        <v>4992</v>
      </c>
      <c r="H55" s="178">
        <f aca="true" t="shared" si="16" ref="H55:H63">IF(G55="",0,1)</f>
        <v>1</v>
      </c>
    </row>
    <row r="56" spans="7:8" ht="12.75" hidden="1">
      <c r="G56" s="182">
        <f t="shared" si="15"/>
        <v>5144</v>
      </c>
      <c r="H56" s="178">
        <f t="shared" si="16"/>
        <v>1</v>
      </c>
    </row>
    <row r="57" spans="7:8" ht="12.75" hidden="1">
      <c r="G57" s="182">
        <f t="shared" si="15"/>
        <v>4892</v>
      </c>
      <c r="H57" s="178">
        <f t="shared" si="16"/>
        <v>1</v>
      </c>
    </row>
    <row r="58" spans="7:8" ht="12.75" hidden="1">
      <c r="G58" s="182">
        <f t="shared" si="15"/>
      </c>
      <c r="H58" s="178">
        <f t="shared" si="16"/>
        <v>0</v>
      </c>
    </row>
    <row r="59" spans="7:8" ht="12.75" hidden="1">
      <c r="G59" s="182">
        <f t="shared" si="15"/>
      </c>
      <c r="H59" s="178">
        <f t="shared" si="16"/>
        <v>0</v>
      </c>
    </row>
    <row r="60" spans="7:8" ht="12.75" hidden="1">
      <c r="G60" s="182">
        <f t="shared" si="15"/>
      </c>
      <c r="H60" s="178">
        <f t="shared" si="16"/>
        <v>0</v>
      </c>
    </row>
    <row r="61" spans="7:8" ht="12.75" hidden="1">
      <c r="G61" s="182">
        <f t="shared" si="15"/>
      </c>
      <c r="H61" s="178">
        <f t="shared" si="16"/>
        <v>0</v>
      </c>
    </row>
    <row r="62" spans="7:8" ht="12.75" hidden="1">
      <c r="G62" s="182">
        <f t="shared" si="15"/>
      </c>
      <c r="H62" s="178">
        <f t="shared" si="16"/>
        <v>0</v>
      </c>
    </row>
    <row r="63" spans="7:8" ht="12.75" hidden="1">
      <c r="G63" s="182">
        <f t="shared" si="15"/>
      </c>
      <c r="H63" s="178">
        <f t="shared" si="16"/>
        <v>0</v>
      </c>
    </row>
    <row r="64" spans="7:8" ht="12.75" hidden="1">
      <c r="G64" s="182"/>
      <c r="H64" s="178">
        <f>SUM(H54:H63)</f>
        <v>4</v>
      </c>
    </row>
    <row r="65" ht="12.75" hidden="1">
      <c r="G65" s="248">
        <f>IF(H64=0,"",SUM(G54:G63)/365/H64)</f>
        <v>13.60890410958904</v>
      </c>
    </row>
    <row r="66" ht="12.75" hidden="1"/>
  </sheetData>
  <sheetProtection sheet="1" objects="1" scenarios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4:F14"/>
    <mergeCell ref="G14:H14"/>
    <mergeCell ref="I14:K14"/>
    <mergeCell ref="N14:O14"/>
    <mergeCell ref="N17:O17"/>
    <mergeCell ref="D18:F18"/>
    <mergeCell ref="G18:H18"/>
    <mergeCell ref="I18:K18"/>
    <mergeCell ref="L18:M18"/>
    <mergeCell ref="N18:O18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D10:H10"/>
    <mergeCell ref="J10:O10"/>
    <mergeCell ref="E1:M1"/>
    <mergeCell ref="E2:M2"/>
    <mergeCell ref="E4:H4"/>
    <mergeCell ref="A8:O8"/>
  </mergeCells>
  <conditionalFormatting sqref="D15:F24">
    <cfRule type="expression" priority="1" dxfId="1" stopIfTrue="1">
      <formula>$G41=2</formula>
    </cfRule>
    <cfRule type="expression" priority="2" dxfId="1" stopIfTrue="1">
      <formula>$K41=2</formula>
    </cfRule>
    <cfRule type="expression" priority="3" dxfId="0" stopIfTrue="1">
      <formula>$O29&lt;0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21"/>
  <sheetViews>
    <sheetView zoomScalePageLayoutView="0" workbookViewId="0" topLeftCell="A1">
      <selection activeCell="D18" sqref="D18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709" t="s">
        <v>112</v>
      </c>
      <c r="C1" s="709"/>
      <c r="D1" s="709"/>
      <c r="E1" s="709"/>
      <c r="F1" s="709"/>
      <c r="G1" s="709"/>
    </row>
    <row r="2" ht="15" customHeight="1"/>
    <row r="3" ht="15" customHeight="1"/>
    <row r="4" ht="15" customHeight="1"/>
    <row r="5" spans="1:8" ht="20.25">
      <c r="A5" s="1054" t="str">
        <f>IF(Mannschaften!D2="","",Mannschaften!D2)</f>
        <v>Ostdeutsche Meisterschaft der männl. Jugend 14 Halle 13/14</v>
      </c>
      <c r="B5" s="1054"/>
      <c r="C5" s="1054"/>
      <c r="D5" s="1054"/>
      <c r="E5" s="1054"/>
      <c r="F5" s="1054"/>
      <c r="G5" s="1054"/>
      <c r="H5" s="1054"/>
    </row>
    <row r="6" ht="18.75" customHeight="1"/>
    <row r="7" spans="1:6" ht="30" customHeight="1">
      <c r="A7" s="1120" t="str">
        <f>IF(Mannschaften!F4="","",Mannschaften!F4)</f>
        <v>Berlin</v>
      </c>
      <c r="B7" s="1120"/>
      <c r="C7" s="19"/>
      <c r="D7" s="252">
        <f>Mannschaften!K4</f>
        <v>41692</v>
      </c>
      <c r="E7" s="7" t="s">
        <v>92</v>
      </c>
      <c r="F7" s="31">
        <f>Mannschaften!M4</f>
        <v>41693</v>
      </c>
    </row>
    <row r="8" spans="1:4" ht="30" customHeight="1">
      <c r="A8" s="708" t="str">
        <f>Mannschaften!A5</f>
        <v>Ausrichter:     </v>
      </c>
      <c r="B8" s="708"/>
      <c r="C8" s="708"/>
      <c r="D8" s="27" t="str">
        <f>IF(Mannschaften!I5="","",Mannschaften!I5)</f>
        <v>Berliner Turnerschaft</v>
      </c>
    </row>
    <row r="9" ht="30" customHeight="1"/>
    <row r="10" spans="1:8" ht="30" customHeight="1">
      <c r="A10" s="1118" t="s">
        <v>62</v>
      </c>
      <c r="B10" s="1118"/>
      <c r="C10" s="1118"/>
      <c r="D10" s="1118"/>
      <c r="E10" s="68"/>
      <c r="F10" s="1119" t="str">
        <f>Mannschaften!H3</f>
        <v>M U14</v>
      </c>
      <c r="G10" s="1119"/>
      <c r="H10" s="1119"/>
    </row>
    <row r="11" ht="30" customHeight="1"/>
    <row r="12" spans="2:4" ht="30" customHeight="1">
      <c r="B12" s="255" t="s">
        <v>233</v>
      </c>
      <c r="D12" s="9" t="str">
        <f>IF('Spielplan-So'!AK34="","",IF('Spielplan-So'!AK34=2,'Spielplan-So'!E34,'Spielplan-So'!G34))</f>
        <v>Berliner Turnerschaft</v>
      </c>
    </row>
    <row r="13" spans="1:4" ht="30" customHeight="1">
      <c r="A13" s="253"/>
      <c r="B13" s="256" t="s">
        <v>218</v>
      </c>
      <c r="C13" s="253"/>
      <c r="D13" s="254" t="str">
        <f>IF('Spielplan-So'!AK34="","",IF('Spielplan-So'!AK34=2,'Spielplan-So'!G34,'Spielplan-So'!E34))</f>
        <v>VfL Kellinghusen</v>
      </c>
    </row>
    <row r="14" spans="1:4" ht="30" customHeight="1">
      <c r="A14" s="253"/>
      <c r="B14" s="257" t="s">
        <v>219</v>
      </c>
      <c r="C14" s="253"/>
      <c r="D14" s="254" t="str">
        <f>IF('Spielplan-So'!AK32="","",IF('Spielplan-So'!AK32=2,'Spielplan-So'!E32,'Spielplan-So'!G32))</f>
        <v>SG Bademeusel</v>
      </c>
    </row>
    <row r="15" spans="2:4" ht="30" customHeight="1">
      <c r="B15" s="8" t="s">
        <v>220</v>
      </c>
      <c r="D15" s="8" t="str">
        <f>IF('Spielplan-So'!AK32="","",IF('Spielplan-So'!AK32=2,'Spielplan-So'!G32,'Spielplan-So'!E32))</f>
        <v>TSV LoLa</v>
      </c>
    </row>
    <row r="16" spans="2:4" ht="30" customHeight="1">
      <c r="B16" s="8" t="s">
        <v>221</v>
      </c>
      <c r="D16" s="8">
        <f>IF(Trostrunde!J31="","",Trostrunde!J31)</f>
      </c>
    </row>
    <row r="17" spans="2:4" ht="30" customHeight="1">
      <c r="B17" s="8" t="s">
        <v>222</v>
      </c>
      <c r="D17" s="8">
        <f>IF(Trostrunde!J32="","",Trostrunde!J32)</f>
      </c>
    </row>
    <row r="18" spans="2:4" ht="30" customHeight="1">
      <c r="B18" s="8" t="s">
        <v>389</v>
      </c>
      <c r="D18" s="8">
        <f>IF(Trostrunde!J33="","",Trostrunde!J33)</f>
      </c>
    </row>
    <row r="19" ht="30" customHeight="1"/>
    <row r="20" spans="2:4" ht="30" customHeight="1">
      <c r="B20" s="7"/>
      <c r="D20" s="7"/>
    </row>
    <row r="21" spans="2:4" ht="30" customHeight="1">
      <c r="B21" s="7"/>
      <c r="D21" s="7"/>
    </row>
    <row r="22" ht="19.5" customHeight="1"/>
  </sheetData>
  <sheetProtection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9"/>
  <dimension ref="A1:U3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421875" style="178" customWidth="1"/>
    <col min="2" max="2" width="16.8515625" style="178" customWidth="1"/>
    <col min="3" max="3" width="7.140625" style="178" customWidth="1"/>
    <col min="4" max="4" width="18.00390625" style="178" customWidth="1"/>
    <col min="5" max="5" width="8.28125" style="178" customWidth="1"/>
    <col min="6" max="7" width="8.7109375" style="178" customWidth="1"/>
    <col min="8" max="9" width="7.140625" style="178" customWidth="1"/>
    <col min="10" max="11" width="8.00390625" style="178" customWidth="1"/>
    <col min="12" max="12" width="7.140625" style="178" customWidth="1"/>
    <col min="13" max="13" width="8.57421875" style="178" customWidth="1"/>
    <col min="14" max="14" width="8.00390625" style="178" customWidth="1"/>
    <col min="15" max="16" width="7.140625" style="178" customWidth="1"/>
    <col min="17" max="17" width="5.421875" style="178" customWidth="1"/>
    <col min="18" max="16384" width="11.421875" style="178" customWidth="1"/>
  </cols>
  <sheetData>
    <row r="1" spans="3:14" s="203" customFormat="1" ht="33.75" customHeight="1">
      <c r="C1" s="1125" t="s">
        <v>112</v>
      </c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</row>
    <row r="2" spans="3:14" s="203" customFormat="1" ht="21" customHeight="1">
      <c r="C2" s="1056" t="str">
        <f>IF(Mannschaften!D2="","",Mannschaften!D2)</f>
        <v>Ostdeutsche Meisterschaft der männl. Jugend 14 Halle 13/14</v>
      </c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6"/>
    </row>
    <row r="3" spans="2:21" s="203" customFormat="1" ht="23.25" customHeight="1">
      <c r="B3" s="204"/>
      <c r="C3" s="777" t="str">
        <f>IF(Mannschaften!F4="","",Mannschaften!F4)</f>
        <v>Berlin</v>
      </c>
      <c r="D3" s="777"/>
      <c r="E3" s="777"/>
      <c r="F3" s="777"/>
      <c r="I3" s="1150">
        <f>Mannschaften!K4</f>
        <v>41692</v>
      </c>
      <c r="J3" s="1150"/>
      <c r="K3" s="205" t="s">
        <v>92</v>
      </c>
      <c r="L3" s="1150">
        <f>Mannschaften!M4</f>
        <v>41693</v>
      </c>
      <c r="M3" s="1150"/>
      <c r="R3" s="204"/>
      <c r="S3" s="204"/>
      <c r="T3" s="204"/>
      <c r="U3" s="204"/>
    </row>
    <row r="4" spans="6:9" s="203" customFormat="1" ht="23.25" customHeight="1">
      <c r="F4" s="186" t="str">
        <f>Mannschaften!A5</f>
        <v>Ausrichter:     </v>
      </c>
      <c r="H4" s="186"/>
      <c r="I4" s="186" t="str">
        <f>IF(Mannschaften!I5="","",Mannschaften!I5)</f>
        <v>Berliner Turnerschaft</v>
      </c>
    </row>
    <row r="5" spans="1:17" s="203" customFormat="1" ht="35.25" customHeight="1">
      <c r="A5" s="1127" t="s">
        <v>178</v>
      </c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6" t="s">
        <v>206</v>
      </c>
      <c r="O5" s="1126"/>
      <c r="P5" s="1126"/>
      <c r="Q5" s="1126"/>
    </row>
    <row r="6" spans="1:17" s="203" customFormat="1" ht="24.75" customHeight="1" thickBot="1">
      <c r="A6" s="1143" t="s">
        <v>179</v>
      </c>
      <c r="B6" s="1143"/>
      <c r="C6" s="1143"/>
      <c r="D6" s="1143"/>
      <c r="E6" s="1143"/>
      <c r="F6" s="1143"/>
      <c r="G6" s="1143"/>
      <c r="H6" s="1143"/>
      <c r="I6" s="1143"/>
      <c r="J6" s="1143"/>
      <c r="K6" s="1143"/>
      <c r="L6" s="1143"/>
      <c r="M6" s="1143"/>
      <c r="N6" s="1142" t="s">
        <v>207</v>
      </c>
      <c r="O6" s="1142"/>
      <c r="P6" s="1142"/>
      <c r="Q6" s="1142"/>
    </row>
    <row r="7" spans="1:17" s="203" customFormat="1" ht="14.25" customHeight="1">
      <c r="A7" s="209" t="s">
        <v>180</v>
      </c>
      <c r="B7" s="231" t="s">
        <v>90</v>
      </c>
      <c r="C7" s="1134" t="s">
        <v>184</v>
      </c>
      <c r="D7" s="231" t="s">
        <v>211</v>
      </c>
      <c r="E7" s="1134" t="s">
        <v>185</v>
      </c>
      <c r="F7" s="232" t="s">
        <v>186</v>
      </c>
      <c r="G7" s="233" t="s">
        <v>187</v>
      </c>
      <c r="H7" s="209" t="s">
        <v>188</v>
      </c>
      <c r="I7" s="209" t="s">
        <v>191</v>
      </c>
      <c r="J7" s="231" t="s">
        <v>210</v>
      </c>
      <c r="K7" s="209" t="s">
        <v>194</v>
      </c>
      <c r="L7" s="209" t="s">
        <v>201</v>
      </c>
      <c r="M7" s="209" t="s">
        <v>196</v>
      </c>
      <c r="N7" s="209" t="s">
        <v>198</v>
      </c>
      <c r="O7" s="1128" t="s">
        <v>203</v>
      </c>
      <c r="P7" s="1129"/>
      <c r="Q7" s="1130"/>
    </row>
    <row r="8" spans="1:17" s="203" customFormat="1" ht="14.25" customHeight="1" thickBot="1">
      <c r="A8" s="234" t="s">
        <v>17</v>
      </c>
      <c r="B8" s="235" t="s">
        <v>183</v>
      </c>
      <c r="C8" s="1135"/>
      <c r="D8" s="235" t="s">
        <v>212</v>
      </c>
      <c r="E8" s="1135"/>
      <c r="F8" s="1136" t="s">
        <v>189</v>
      </c>
      <c r="G8" s="1137"/>
      <c r="H8" s="236" t="s">
        <v>190</v>
      </c>
      <c r="I8" s="234" t="s">
        <v>192</v>
      </c>
      <c r="J8" s="235" t="s">
        <v>193</v>
      </c>
      <c r="K8" s="234" t="s">
        <v>195</v>
      </c>
      <c r="L8" s="236" t="s">
        <v>202</v>
      </c>
      <c r="M8" s="234" t="s">
        <v>197</v>
      </c>
      <c r="N8" s="234" t="s">
        <v>199</v>
      </c>
      <c r="O8" s="1131"/>
      <c r="P8" s="1132"/>
      <c r="Q8" s="1133"/>
    </row>
    <row r="9" spans="1:17" ht="14.25" customHeight="1">
      <c r="A9" s="1134">
        <v>1</v>
      </c>
      <c r="B9" s="212"/>
      <c r="C9" s="1140"/>
      <c r="D9" s="213"/>
      <c r="E9" s="1138"/>
      <c r="F9" s="214"/>
      <c r="G9" s="215"/>
      <c r="H9" s="1140"/>
      <c r="I9" s="1140"/>
      <c r="J9" s="210"/>
      <c r="K9" s="1121">
        <f>IF(I9="","",I9*0.2+IF(J9="",0,J9*J10*0.02))</f>
      </c>
      <c r="L9" s="1123"/>
      <c r="M9" s="1123"/>
      <c r="N9" s="1121">
        <f>IF(M9="","",L9+M9+IF(K9="",0,K9))</f>
      </c>
      <c r="O9" s="1144"/>
      <c r="P9" s="1145"/>
      <c r="Q9" s="1146"/>
    </row>
    <row r="10" spans="1:17" ht="14.25" customHeight="1" thickBot="1">
      <c r="A10" s="1135"/>
      <c r="B10" s="216"/>
      <c r="C10" s="1141"/>
      <c r="D10" s="217"/>
      <c r="E10" s="1139"/>
      <c r="F10" s="218"/>
      <c r="G10" s="219"/>
      <c r="H10" s="1141"/>
      <c r="I10" s="1141"/>
      <c r="J10" s="211"/>
      <c r="K10" s="1122"/>
      <c r="L10" s="1124"/>
      <c r="M10" s="1124"/>
      <c r="N10" s="1122"/>
      <c r="O10" s="1147"/>
      <c r="P10" s="1148"/>
      <c r="Q10" s="1149"/>
    </row>
    <row r="11" spans="1:17" ht="14.25" customHeight="1">
      <c r="A11" s="1134">
        <v>2</v>
      </c>
      <c r="B11" s="212"/>
      <c r="C11" s="1140"/>
      <c r="D11" s="213"/>
      <c r="E11" s="1138"/>
      <c r="F11" s="214"/>
      <c r="G11" s="215"/>
      <c r="H11" s="1140"/>
      <c r="I11" s="1140"/>
      <c r="J11" s="210"/>
      <c r="K11" s="1121">
        <f>IF(I11="","",I11*0.2+IF(J11="",0,J11*J12*0.02))</f>
      </c>
      <c r="L11" s="1123"/>
      <c r="M11" s="1123"/>
      <c r="N11" s="1121">
        <f>IF(M11="","",L11+M11+IF(K11="",0,K11))</f>
      </c>
      <c r="O11" s="1144"/>
      <c r="P11" s="1145"/>
      <c r="Q11" s="1146"/>
    </row>
    <row r="12" spans="1:17" ht="14.25" customHeight="1" thickBot="1">
      <c r="A12" s="1135"/>
      <c r="B12" s="216"/>
      <c r="C12" s="1141"/>
      <c r="D12" s="217"/>
      <c r="E12" s="1139"/>
      <c r="F12" s="220"/>
      <c r="G12" s="219"/>
      <c r="H12" s="1141"/>
      <c r="I12" s="1141"/>
      <c r="J12" s="211"/>
      <c r="K12" s="1122"/>
      <c r="L12" s="1124"/>
      <c r="M12" s="1124"/>
      <c r="N12" s="1122"/>
      <c r="O12" s="1147"/>
      <c r="P12" s="1148"/>
      <c r="Q12" s="1149"/>
    </row>
    <row r="13" spans="1:17" ht="14.25" customHeight="1">
      <c r="A13" s="1134">
        <v>3</v>
      </c>
      <c r="B13" s="212"/>
      <c r="C13" s="1140"/>
      <c r="D13" s="213"/>
      <c r="E13" s="1138"/>
      <c r="F13" s="214"/>
      <c r="G13" s="215"/>
      <c r="H13" s="1140"/>
      <c r="I13" s="1140"/>
      <c r="J13" s="210"/>
      <c r="K13" s="1121">
        <f>IF(I13="","",I13*0.2+IF(J13="",0,J13*J14*0.02))</f>
      </c>
      <c r="L13" s="1123"/>
      <c r="M13" s="1123"/>
      <c r="N13" s="1121">
        <f>IF(M13="","",L13+M13+IF(K13="",0,K13))</f>
      </c>
      <c r="O13" s="1144"/>
      <c r="P13" s="1145"/>
      <c r="Q13" s="1146"/>
    </row>
    <row r="14" spans="1:17" ht="14.25" customHeight="1" thickBot="1">
      <c r="A14" s="1135"/>
      <c r="B14" s="216"/>
      <c r="C14" s="1141"/>
      <c r="D14" s="217"/>
      <c r="E14" s="1139"/>
      <c r="F14" s="220"/>
      <c r="G14" s="219"/>
      <c r="H14" s="1141"/>
      <c r="I14" s="1141"/>
      <c r="J14" s="211"/>
      <c r="K14" s="1122"/>
      <c r="L14" s="1124"/>
      <c r="M14" s="1124"/>
      <c r="N14" s="1122"/>
      <c r="O14" s="1147"/>
      <c r="P14" s="1148"/>
      <c r="Q14" s="1149"/>
    </row>
    <row r="15" spans="1:17" ht="14.25" customHeight="1">
      <c r="A15" s="1134">
        <v>4</v>
      </c>
      <c r="B15" s="212"/>
      <c r="C15" s="1140"/>
      <c r="D15" s="213"/>
      <c r="E15" s="1138"/>
      <c r="F15" s="214"/>
      <c r="G15" s="215"/>
      <c r="H15" s="1140"/>
      <c r="I15" s="1140"/>
      <c r="J15" s="210"/>
      <c r="K15" s="1121">
        <f>IF(I15="","",I15*0.2+IF(J15="",0,J15*J16*0.02))</f>
      </c>
      <c r="L15" s="1123"/>
      <c r="M15" s="1123"/>
      <c r="N15" s="1121">
        <f>IF(M15="","",L15+M15+IF(K15="",0,K15))</f>
      </c>
      <c r="O15" s="1144"/>
      <c r="P15" s="1145"/>
      <c r="Q15" s="1146"/>
    </row>
    <row r="16" spans="1:17" ht="14.25" customHeight="1" thickBot="1">
      <c r="A16" s="1135"/>
      <c r="B16" s="221"/>
      <c r="C16" s="1141"/>
      <c r="D16" s="217"/>
      <c r="E16" s="1139"/>
      <c r="F16" s="220"/>
      <c r="G16" s="222"/>
      <c r="H16" s="1141"/>
      <c r="I16" s="1141"/>
      <c r="J16" s="223"/>
      <c r="K16" s="1122"/>
      <c r="L16" s="1124"/>
      <c r="M16" s="1124"/>
      <c r="N16" s="1122"/>
      <c r="O16" s="1147"/>
      <c r="P16" s="1148"/>
      <c r="Q16" s="1149"/>
    </row>
    <row r="17" spans="1:17" ht="14.25" customHeight="1">
      <c r="A17" s="1134">
        <v>5</v>
      </c>
      <c r="B17" s="212"/>
      <c r="C17" s="1140"/>
      <c r="D17" s="213"/>
      <c r="E17" s="1138"/>
      <c r="F17" s="224"/>
      <c r="G17" s="215"/>
      <c r="H17" s="1140"/>
      <c r="I17" s="1140"/>
      <c r="J17" s="210"/>
      <c r="K17" s="1121">
        <f>IF(I17="","",I17*0.2+IF(J17="",0,J17*J18*0.02))</f>
      </c>
      <c r="L17" s="1123"/>
      <c r="M17" s="1123"/>
      <c r="N17" s="1121">
        <f>IF(M17="","",L17+M17+IF(K17="",0,K17))</f>
      </c>
      <c r="O17" s="1144"/>
      <c r="P17" s="1145"/>
      <c r="Q17" s="1146"/>
    </row>
    <row r="18" spans="1:17" ht="14.25" customHeight="1" thickBot="1">
      <c r="A18" s="1135"/>
      <c r="B18" s="216"/>
      <c r="C18" s="1141"/>
      <c r="D18" s="217"/>
      <c r="E18" s="1139"/>
      <c r="F18" s="225"/>
      <c r="G18" s="219"/>
      <c r="H18" s="1141"/>
      <c r="I18" s="1141"/>
      <c r="J18" s="211"/>
      <c r="K18" s="1122"/>
      <c r="L18" s="1124"/>
      <c r="M18" s="1124"/>
      <c r="N18" s="1122"/>
      <c r="O18" s="1147"/>
      <c r="P18" s="1148"/>
      <c r="Q18" s="1149"/>
    </row>
    <row r="19" spans="1:17" s="97" customFormat="1" ht="14.25" customHeight="1">
      <c r="A19" s="1134">
        <v>6</v>
      </c>
      <c r="B19" s="212"/>
      <c r="C19" s="1140"/>
      <c r="D19" s="213"/>
      <c r="E19" s="1138"/>
      <c r="F19" s="224"/>
      <c r="G19" s="215"/>
      <c r="H19" s="1140"/>
      <c r="I19" s="1140"/>
      <c r="J19" s="210"/>
      <c r="K19" s="1121">
        <f>IF(I19="","",I19*0.2+IF(J19="",0,J19*J20*0.02))</f>
      </c>
      <c r="L19" s="1123"/>
      <c r="M19" s="1123"/>
      <c r="N19" s="1121">
        <f>IF(M19="","",L19+M19+IF(K19="",0,K19))</f>
      </c>
      <c r="O19" s="1144"/>
      <c r="P19" s="1145"/>
      <c r="Q19" s="1146"/>
    </row>
    <row r="20" spans="1:17" ht="14.25" customHeight="1" thickBot="1">
      <c r="A20" s="1135"/>
      <c r="B20" s="216"/>
      <c r="C20" s="1141"/>
      <c r="D20" s="217"/>
      <c r="E20" s="1139"/>
      <c r="F20" s="225"/>
      <c r="G20" s="219"/>
      <c r="H20" s="1141"/>
      <c r="I20" s="1141"/>
      <c r="J20" s="211"/>
      <c r="K20" s="1122"/>
      <c r="L20" s="1124"/>
      <c r="M20" s="1124"/>
      <c r="N20" s="1122"/>
      <c r="O20" s="1147"/>
      <c r="P20" s="1148"/>
      <c r="Q20" s="1149"/>
    </row>
    <row r="21" spans="1:17" ht="14.25" customHeight="1">
      <c r="A21" s="1134">
        <v>7</v>
      </c>
      <c r="B21" s="226"/>
      <c r="C21" s="1140"/>
      <c r="D21" s="213"/>
      <c r="E21" s="1138"/>
      <c r="F21" s="227"/>
      <c r="G21" s="228"/>
      <c r="H21" s="1140"/>
      <c r="I21" s="1140"/>
      <c r="J21" s="229"/>
      <c r="K21" s="1121">
        <f>IF(I21="","",I21*0.2+IF(J21="",0,J21*J22*0.02))</f>
      </c>
      <c r="L21" s="1123"/>
      <c r="M21" s="1123"/>
      <c r="N21" s="1121">
        <f>IF(M21="","",L21+M21+IF(K21="",0,K21))</f>
      </c>
      <c r="O21" s="1144"/>
      <c r="P21" s="1145"/>
      <c r="Q21" s="1146"/>
    </row>
    <row r="22" spans="1:17" ht="14.25" customHeight="1" thickBot="1">
      <c r="A22" s="1135"/>
      <c r="B22" s="216"/>
      <c r="C22" s="1141"/>
      <c r="D22" s="217"/>
      <c r="E22" s="1139"/>
      <c r="F22" s="225"/>
      <c r="G22" s="219"/>
      <c r="H22" s="1141"/>
      <c r="I22" s="1141"/>
      <c r="J22" s="211"/>
      <c r="K22" s="1122"/>
      <c r="L22" s="1124"/>
      <c r="M22" s="1124"/>
      <c r="N22" s="1122"/>
      <c r="O22" s="1147"/>
      <c r="P22" s="1148"/>
      <c r="Q22" s="1149"/>
    </row>
    <row r="23" spans="1:17" ht="14.25" customHeight="1">
      <c r="A23" s="1134">
        <v>8</v>
      </c>
      <c r="B23" s="212"/>
      <c r="C23" s="1140"/>
      <c r="D23" s="213"/>
      <c r="E23" s="1138"/>
      <c r="F23" s="224"/>
      <c r="G23" s="215"/>
      <c r="H23" s="1140"/>
      <c r="I23" s="1140"/>
      <c r="J23" s="210"/>
      <c r="K23" s="1121">
        <f>IF(I23="","",I23*0.2+IF(J23="",0,J23*J24*0.02))</f>
      </c>
      <c r="L23" s="1123"/>
      <c r="M23" s="1123"/>
      <c r="N23" s="1121">
        <f>IF(M23="","",L23+M23+IF(K23="",0,K23))</f>
      </c>
      <c r="O23" s="1144"/>
      <c r="P23" s="1145"/>
      <c r="Q23" s="1146"/>
    </row>
    <row r="24" spans="1:17" ht="14.25" customHeight="1" thickBot="1">
      <c r="A24" s="1135"/>
      <c r="B24" s="216"/>
      <c r="C24" s="1141"/>
      <c r="D24" s="217"/>
      <c r="E24" s="1139"/>
      <c r="F24" s="225"/>
      <c r="G24" s="219"/>
      <c r="H24" s="1141"/>
      <c r="I24" s="1141"/>
      <c r="J24" s="211"/>
      <c r="K24" s="1122"/>
      <c r="L24" s="1124"/>
      <c r="M24" s="1124"/>
      <c r="N24" s="1122"/>
      <c r="O24" s="1147"/>
      <c r="P24" s="1148"/>
      <c r="Q24" s="1149"/>
    </row>
    <row r="25" spans="1:17" ht="14.25" customHeight="1">
      <c r="A25" s="1134">
        <v>9</v>
      </c>
      <c r="B25" s="212"/>
      <c r="C25" s="1140"/>
      <c r="D25" s="213"/>
      <c r="E25" s="1138"/>
      <c r="F25" s="224"/>
      <c r="G25" s="215"/>
      <c r="H25" s="1140"/>
      <c r="I25" s="1140"/>
      <c r="J25" s="210"/>
      <c r="K25" s="1121">
        <f>IF(I25="","",I25*0.2+IF(J25="",0,J25*J26*0.02))</f>
      </c>
      <c r="L25" s="1123"/>
      <c r="M25" s="1123"/>
      <c r="N25" s="1121">
        <f>IF(M25="","",L25+M25+IF(K25="",0,K25))</f>
      </c>
      <c r="O25" s="1144"/>
      <c r="P25" s="1145"/>
      <c r="Q25" s="1146"/>
    </row>
    <row r="26" spans="1:17" ht="14.25" customHeight="1" thickBot="1">
      <c r="A26" s="1135"/>
      <c r="B26" s="216"/>
      <c r="C26" s="1141"/>
      <c r="D26" s="217"/>
      <c r="E26" s="1139"/>
      <c r="F26" s="225"/>
      <c r="G26" s="219"/>
      <c r="H26" s="1141"/>
      <c r="I26" s="1141"/>
      <c r="J26" s="211"/>
      <c r="K26" s="1122"/>
      <c r="L26" s="1124"/>
      <c r="M26" s="1124"/>
      <c r="N26" s="1122"/>
      <c r="O26" s="1147"/>
      <c r="P26" s="1148"/>
      <c r="Q26" s="1149"/>
    </row>
    <row r="27" spans="1:17" ht="14.25" customHeight="1">
      <c r="A27" s="1134">
        <v>10</v>
      </c>
      <c r="B27" s="212"/>
      <c r="C27" s="1140"/>
      <c r="D27" s="213"/>
      <c r="E27" s="1138"/>
      <c r="F27" s="224"/>
      <c r="G27" s="215"/>
      <c r="H27" s="1140"/>
      <c r="I27" s="1140"/>
      <c r="J27" s="210"/>
      <c r="K27" s="1121">
        <f>IF(I27="","",I27*0.2+IF(J27="",0,J27*J28*0.02))</f>
      </c>
      <c r="L27" s="1123"/>
      <c r="M27" s="1123"/>
      <c r="N27" s="1121">
        <f>IF(M27="","",L27+M27+IF(K27="",0,K27))</f>
      </c>
      <c r="O27" s="1144"/>
      <c r="P27" s="1145"/>
      <c r="Q27" s="1146"/>
    </row>
    <row r="28" spans="1:17" ht="14.25" customHeight="1" thickBot="1">
      <c r="A28" s="1135"/>
      <c r="B28" s="216"/>
      <c r="C28" s="1141"/>
      <c r="D28" s="217"/>
      <c r="E28" s="1139"/>
      <c r="F28" s="225"/>
      <c r="G28" s="219"/>
      <c r="H28" s="1141"/>
      <c r="I28" s="1141"/>
      <c r="J28" s="211"/>
      <c r="K28" s="1122"/>
      <c r="L28" s="1124"/>
      <c r="M28" s="1124"/>
      <c r="N28" s="1122"/>
      <c r="O28" s="1147"/>
      <c r="P28" s="1148"/>
      <c r="Q28" s="1149"/>
    </row>
    <row r="29" ht="12.75">
      <c r="A29" s="203"/>
    </row>
    <row r="30" spans="1:6" ht="12.75">
      <c r="A30" s="203" t="s">
        <v>181</v>
      </c>
      <c r="C30" s="203" t="s">
        <v>200</v>
      </c>
      <c r="F30" s="203" t="s">
        <v>182</v>
      </c>
    </row>
    <row r="31" spans="1:14" ht="12.75">
      <c r="A31" s="203"/>
      <c r="K31" s="237" t="s">
        <v>204</v>
      </c>
      <c r="L31" s="230"/>
      <c r="M31" s="230"/>
      <c r="N31" s="238">
        <f>IF(SUM(N9:N28)=0,"",SUM(N9:N28))</f>
      </c>
    </row>
    <row r="32" ht="12.75">
      <c r="A32" s="203" t="s">
        <v>205</v>
      </c>
    </row>
    <row r="33" ht="12.75">
      <c r="A33" s="203"/>
    </row>
    <row r="34" spans="1:4" ht="12.75">
      <c r="A34" s="203" t="s">
        <v>208</v>
      </c>
      <c r="D34" s="203" t="s">
        <v>209</v>
      </c>
    </row>
    <row r="35" ht="12.75">
      <c r="A35" s="203"/>
    </row>
  </sheetData>
  <sheetProtection sheet="1" selectLockedCells="1"/>
  <mergeCells count="113">
    <mergeCell ref="L9:L10"/>
    <mergeCell ref="L11:L12"/>
    <mergeCell ref="C13:C14"/>
    <mergeCell ref="E13:E14"/>
    <mergeCell ref="C3:F3"/>
    <mergeCell ref="L3:M3"/>
    <mergeCell ref="I3:J3"/>
    <mergeCell ref="I11:I12"/>
    <mergeCell ref="M11:M12"/>
    <mergeCell ref="H9:H10"/>
    <mergeCell ref="E11:E12"/>
    <mergeCell ref="H27:H28"/>
    <mergeCell ref="I9:I10"/>
    <mergeCell ref="H17:H18"/>
    <mergeCell ref="H19:H20"/>
    <mergeCell ref="E27:E28"/>
    <mergeCell ref="I27:I28"/>
    <mergeCell ref="I23:I24"/>
    <mergeCell ref="K9:K10"/>
    <mergeCell ref="K11:K12"/>
    <mergeCell ref="K13:K14"/>
    <mergeCell ref="I13:I14"/>
    <mergeCell ref="I19:I20"/>
    <mergeCell ref="O23:Q24"/>
    <mergeCell ref="I25:I26"/>
    <mergeCell ref="O17:Q18"/>
    <mergeCell ref="O19:Q20"/>
    <mergeCell ref="M15:M16"/>
    <mergeCell ref="M17:M18"/>
    <mergeCell ref="M19:M20"/>
    <mergeCell ref="I15:I16"/>
    <mergeCell ref="O21:Q22"/>
    <mergeCell ref="I17:I18"/>
    <mergeCell ref="O27:Q28"/>
    <mergeCell ref="L21:L22"/>
    <mergeCell ref="L27:L28"/>
    <mergeCell ref="M21:M22"/>
    <mergeCell ref="N25:N26"/>
    <mergeCell ref="M23:M24"/>
    <mergeCell ref="M25:M26"/>
    <mergeCell ref="M27:M28"/>
    <mergeCell ref="N21:N22"/>
    <mergeCell ref="L23:L24"/>
    <mergeCell ref="H21:H22"/>
    <mergeCell ref="H23:H24"/>
    <mergeCell ref="N23:N24"/>
    <mergeCell ref="K21:K22"/>
    <mergeCell ref="E17:E18"/>
    <mergeCell ref="E19:E20"/>
    <mergeCell ref="E21:E22"/>
    <mergeCell ref="K17:K18"/>
    <mergeCell ref="K19:K20"/>
    <mergeCell ref="I21:I22"/>
    <mergeCell ref="E25:E26"/>
    <mergeCell ref="E23:E24"/>
    <mergeCell ref="O9:Q10"/>
    <mergeCell ref="O11:Q12"/>
    <mergeCell ref="O13:Q14"/>
    <mergeCell ref="O15:Q16"/>
    <mergeCell ref="H25:H26"/>
    <mergeCell ref="L17:L18"/>
    <mergeCell ref="L19:L20"/>
    <mergeCell ref="N9:N10"/>
    <mergeCell ref="A23:A24"/>
    <mergeCell ref="A25:A26"/>
    <mergeCell ref="A27:A28"/>
    <mergeCell ref="O25:Q26"/>
    <mergeCell ref="C27:C28"/>
    <mergeCell ref="K23:K24"/>
    <mergeCell ref="K25:K26"/>
    <mergeCell ref="K27:K28"/>
    <mergeCell ref="L25:L26"/>
    <mergeCell ref="N27:N28"/>
    <mergeCell ref="C21:C22"/>
    <mergeCell ref="C23:C24"/>
    <mergeCell ref="C25:C26"/>
    <mergeCell ref="A15:A16"/>
    <mergeCell ref="A17:A18"/>
    <mergeCell ref="A19:A20"/>
    <mergeCell ref="A21:A22"/>
    <mergeCell ref="C15:C16"/>
    <mergeCell ref="C17:C18"/>
    <mergeCell ref="C19:C20"/>
    <mergeCell ref="N11:N12"/>
    <mergeCell ref="N6:Q6"/>
    <mergeCell ref="A6:M6"/>
    <mergeCell ref="M9:M10"/>
    <mergeCell ref="A9:A10"/>
    <mergeCell ref="A11:A12"/>
    <mergeCell ref="C7:C8"/>
    <mergeCell ref="C9:C10"/>
    <mergeCell ref="C11:C12"/>
    <mergeCell ref="H11:H12"/>
    <mergeCell ref="A13:A14"/>
    <mergeCell ref="F8:G8"/>
    <mergeCell ref="L13:L14"/>
    <mergeCell ref="L15:L16"/>
    <mergeCell ref="E7:E8"/>
    <mergeCell ref="E9:E10"/>
    <mergeCell ref="K15:K16"/>
    <mergeCell ref="H13:H14"/>
    <mergeCell ref="E15:E16"/>
    <mergeCell ref="H15:H16"/>
    <mergeCell ref="N13:N14"/>
    <mergeCell ref="N15:N16"/>
    <mergeCell ref="N17:N18"/>
    <mergeCell ref="M13:M14"/>
    <mergeCell ref="N19:N20"/>
    <mergeCell ref="C1:N1"/>
    <mergeCell ref="C2:N2"/>
    <mergeCell ref="N5:Q5"/>
    <mergeCell ref="A5:M5"/>
    <mergeCell ref="O7:Q8"/>
  </mergeCells>
  <printOptions/>
  <pageMargins left="0.1968503937007874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L56"/>
  <sheetViews>
    <sheetView zoomScalePageLayoutView="0" workbookViewId="0" topLeftCell="A25">
      <selection activeCell="AE8" sqref="AE8"/>
    </sheetView>
  </sheetViews>
  <sheetFormatPr defaultColWidth="11.421875" defaultRowHeight="12.75"/>
  <cols>
    <col min="1" max="37" width="2.7109375" style="0" customWidth="1"/>
  </cols>
  <sheetData>
    <row r="1" spans="6:30" ht="30" customHeight="1">
      <c r="F1" s="709" t="s">
        <v>112</v>
      </c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710" t="s">
        <v>65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</row>
    <row r="4" spans="1:35" ht="18">
      <c r="A4" s="708" t="s">
        <v>248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8"/>
      <c r="AI4" s="708"/>
    </row>
    <row r="5" spans="1:35" ht="18">
      <c r="A5" s="708" t="s">
        <v>244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</row>
    <row r="6" spans="1:35" ht="18">
      <c r="A6" s="708" t="s">
        <v>236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708"/>
    </row>
    <row r="7" spans="1:28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19" customFormat="1" ht="15.75">
      <c r="A8" s="18" t="s">
        <v>41</v>
      </c>
      <c r="B8" s="18" t="s">
        <v>66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19" customFormat="1" ht="15.75">
      <c r="A9" s="18" t="s">
        <v>42</v>
      </c>
      <c r="B9" s="18" t="s">
        <v>67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19" customFormat="1" ht="15.75">
      <c r="A10" s="18" t="s">
        <v>43</v>
      </c>
      <c r="B10" s="18" t="s">
        <v>68</v>
      </c>
      <c r="C10" s="18"/>
      <c r="D10" s="20" t="s">
        <v>77</v>
      </c>
      <c r="E10" s="20"/>
      <c r="F10" s="20"/>
      <c r="G10" s="20"/>
      <c r="H10" s="20"/>
      <c r="I10" s="20"/>
      <c r="J10" s="22"/>
      <c r="K10" s="20"/>
      <c r="L10" s="22"/>
      <c r="M10" s="22"/>
      <c r="N10" s="18" t="s">
        <v>87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11" s="19" customFormat="1" ht="15.75">
      <c r="A11" s="18"/>
      <c r="B11" s="18" t="s">
        <v>69</v>
      </c>
      <c r="C11" s="18" t="s">
        <v>78</v>
      </c>
      <c r="D11" s="18"/>
      <c r="E11" s="18"/>
      <c r="F11" s="18"/>
      <c r="G11" s="18"/>
      <c r="H11" s="18"/>
      <c r="I11" s="18"/>
      <c r="J11" s="18"/>
      <c r="K11" s="18"/>
    </row>
    <row r="12" spans="1:11" s="19" customFormat="1" ht="15.75">
      <c r="A12" s="18"/>
      <c r="B12" s="18"/>
      <c r="C12" s="18" t="s">
        <v>88</v>
      </c>
      <c r="D12" s="18"/>
      <c r="E12" s="18"/>
      <c r="F12" s="18"/>
      <c r="G12" s="18"/>
      <c r="H12" s="18"/>
      <c r="I12" s="18"/>
      <c r="J12" s="18"/>
      <c r="K12" s="18"/>
    </row>
    <row r="13" spans="1:28" s="19" customFormat="1" ht="15.75">
      <c r="A13" s="18"/>
      <c r="B13" s="18"/>
      <c r="C13" s="18" t="s">
        <v>224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U13" s="18"/>
      <c r="V13" s="18"/>
      <c r="W13" s="18"/>
      <c r="X13" s="18"/>
      <c r="Y13" s="18"/>
      <c r="Z13" s="18"/>
      <c r="AA13" s="18"/>
      <c r="AB13" s="18"/>
    </row>
    <row r="14" spans="1:28" s="19" customFormat="1" ht="15.75">
      <c r="A14" s="18"/>
      <c r="B14" s="18"/>
      <c r="C14" s="18" t="s">
        <v>226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U14" s="18"/>
      <c r="V14" s="18"/>
      <c r="W14" s="18"/>
      <c r="X14" s="18"/>
      <c r="Y14" s="18"/>
      <c r="Z14" s="18"/>
      <c r="AA14" s="18"/>
      <c r="AB14" s="18"/>
    </row>
    <row r="15" spans="1:28" s="19" customFormat="1" ht="15.75">
      <c r="A15" s="18"/>
      <c r="B15" s="18" t="s">
        <v>70</v>
      </c>
      <c r="C15" s="18" t="s">
        <v>79</v>
      </c>
      <c r="D15" s="18"/>
      <c r="E15" s="18"/>
      <c r="F15" s="18"/>
      <c r="G15" s="18"/>
      <c r="H15" s="18"/>
      <c r="I15" s="18"/>
      <c r="J15" s="18"/>
      <c r="K15" s="18"/>
      <c r="X15" s="18"/>
      <c r="Y15" s="18"/>
      <c r="Z15" s="18"/>
      <c r="AA15" s="18"/>
      <c r="AB15" s="18"/>
    </row>
    <row r="16" spans="1:28" s="19" customFormat="1" ht="15.75">
      <c r="A16" s="18"/>
      <c r="B16" s="18"/>
      <c r="C16" s="18" t="s">
        <v>175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11" s="19" customFormat="1" ht="15.75">
      <c r="A17" s="18"/>
      <c r="B17" s="18" t="s">
        <v>71</v>
      </c>
      <c r="C17" s="18" t="s">
        <v>80</v>
      </c>
      <c r="D17" s="18"/>
      <c r="E17" s="18"/>
      <c r="F17" s="18"/>
      <c r="G17" s="18"/>
      <c r="H17" s="18"/>
      <c r="I17" s="18"/>
      <c r="J17" s="18"/>
      <c r="K17" s="18"/>
    </row>
    <row r="18" spans="1:28" s="19" customFormat="1" ht="15.75">
      <c r="A18" s="18"/>
      <c r="B18" s="18"/>
      <c r="C18" s="18" t="s">
        <v>93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U18" s="18"/>
      <c r="V18" s="18"/>
      <c r="W18" s="18"/>
      <c r="X18" s="18"/>
      <c r="Y18" s="18"/>
      <c r="Z18" s="18"/>
      <c r="AA18" s="18"/>
      <c r="AB18" s="18"/>
    </row>
    <row r="19" spans="1:28" s="19" customFormat="1" ht="15.75" customHeight="1">
      <c r="A19" s="18"/>
      <c r="B19" s="18" t="s">
        <v>223</v>
      </c>
      <c r="C19" s="18" t="s">
        <v>225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9" customFormat="1" ht="15.75" customHeight="1">
      <c r="A20" s="18"/>
      <c r="B20" s="18"/>
      <c r="C20" s="18" t="s">
        <v>230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32" s="19" customFormat="1" ht="15.75" customHeight="1">
      <c r="A21" s="18"/>
      <c r="B21" s="18"/>
      <c r="C21" s="18" t="s">
        <v>245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D21" s="239" t="s">
        <v>227</v>
      </c>
      <c r="AE21" s="240"/>
      <c r="AF21" s="18" t="s">
        <v>228</v>
      </c>
    </row>
    <row r="22" spans="1:32" s="19" customFormat="1" ht="15.75" customHeight="1">
      <c r="A22" s="18"/>
      <c r="B22" s="18"/>
      <c r="C22" s="18" t="s">
        <v>246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R22" s="241"/>
      <c r="T22" s="18"/>
      <c r="U22" s="18"/>
      <c r="V22" s="18"/>
      <c r="W22" s="18"/>
      <c r="X22" s="18"/>
      <c r="Y22" s="18"/>
      <c r="Z22" s="18"/>
      <c r="AB22" s="18"/>
      <c r="AD22" s="21" t="s">
        <v>229</v>
      </c>
      <c r="AE22" s="24"/>
      <c r="AF22" s="18" t="s">
        <v>228</v>
      </c>
    </row>
    <row r="23" spans="1:32" s="19" customFormat="1" ht="9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D23" s="241"/>
      <c r="AE23" s="242"/>
      <c r="AF23" s="18"/>
    </row>
    <row r="24" spans="1:28" s="19" customFormat="1" ht="15.75">
      <c r="A24" s="18" t="s">
        <v>85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19" customFormat="1" ht="15.75">
      <c r="A25" s="18" t="s">
        <v>176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19" customFormat="1" ht="15.75">
      <c r="A26" s="18" t="s">
        <v>177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19" customFormat="1" ht="9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19" customFormat="1" ht="15.75">
      <c r="A28" s="18" t="s">
        <v>249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19" customFormat="1" ht="15.75">
      <c r="A29" s="18" t="s">
        <v>247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s="19" customFormat="1" ht="9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s="19" customFormat="1" ht="15.75">
      <c r="A31" s="18" t="s">
        <v>132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9" customFormat="1" ht="15.75">
      <c r="A32" s="18" t="s">
        <v>134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31" s="19" customFormat="1" ht="15.75">
      <c r="A33" s="18" t="s">
        <v>76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35" t="s">
        <v>135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6"/>
      <c r="AE33" s="36"/>
    </row>
    <row r="34" spans="2:37" s="19" customFormat="1" ht="15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5" t="s">
        <v>136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/>
      <c r="AG34"/>
      <c r="AH34"/>
      <c r="AI34"/>
      <c r="AJ34"/>
      <c r="AK34"/>
    </row>
    <row r="35" spans="1:37" s="19" customFormat="1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28" s="19" customFormat="1" ht="15.75">
      <c r="A36" s="18" t="s">
        <v>72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9" customFormat="1" ht="15.75">
      <c r="A37" s="18" t="s">
        <v>81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19" customFormat="1" ht="15.75">
      <c r="A38" s="18" t="s">
        <v>74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s="19" customFormat="1" ht="15.75">
      <c r="A39" s="18" t="s">
        <v>82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19" customFormat="1" ht="15.75">
      <c r="A40" s="18" t="s">
        <v>73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s="19" customFormat="1" ht="9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19" customFormat="1" ht="15.75">
      <c r="A42" s="18" t="s">
        <v>83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19" customFormat="1" ht="15.75">
      <c r="A43" s="21" t="s">
        <v>75</v>
      </c>
      <c r="B43" s="21"/>
      <c r="C43" s="21"/>
      <c r="D43" s="21"/>
      <c r="E43" s="21"/>
      <c r="F43" s="21"/>
      <c r="G43" s="24"/>
      <c r="H43" s="24"/>
      <c r="I43" s="18" t="s">
        <v>131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19" customFormat="1" ht="15.75">
      <c r="A44" s="23" t="s">
        <v>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ht="9.75" customHeight="1"/>
    <row r="46" ht="15.75">
      <c r="A46" s="18" t="s">
        <v>137</v>
      </c>
    </row>
    <row r="47" ht="15.75">
      <c r="A47" s="18" t="s">
        <v>138</v>
      </c>
    </row>
    <row r="48" ht="15.75">
      <c r="A48" s="18" t="s">
        <v>139</v>
      </c>
    </row>
    <row r="49" ht="15.75">
      <c r="A49" s="18" t="s">
        <v>91</v>
      </c>
    </row>
    <row r="50" ht="9.75" customHeight="1">
      <c r="A50" s="18"/>
    </row>
    <row r="51" spans="1:38" s="19" customFormat="1" ht="15.75" customHeight="1">
      <c r="A51" s="18" t="s">
        <v>250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38" s="19" customFormat="1" ht="15.75" customHeight="1">
      <c r="A52" s="18" t="s">
        <v>251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1:38" s="19" customFormat="1" ht="15.75" customHeight="1">
      <c r="A53" s="18" t="s">
        <v>252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1:38" s="19" customFormat="1" ht="9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1:38" s="19" customFormat="1" ht="15.75" customHeight="1">
      <c r="A55" s="579" t="s">
        <v>253</v>
      </c>
      <c r="B55" s="579"/>
      <c r="C55" s="579"/>
      <c r="D55" s="57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</row>
    <row r="56" spans="1:33" s="19" customFormat="1" ht="15.75" customHeight="1">
      <c r="A56" s="18" t="s">
        <v>254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="19" customFormat="1" ht="15.75" customHeight="1"/>
  </sheetData>
  <sheetProtection sheet="1" objects="1" scenarios="1" selectLockedCells="1"/>
  <mergeCells count="5">
    <mergeCell ref="A6:AI6"/>
    <mergeCell ref="F1:AD1"/>
    <mergeCell ref="A3:AI3"/>
    <mergeCell ref="A4:AI4"/>
    <mergeCell ref="A5:AI5"/>
  </mergeCells>
  <printOptions horizontalCentered="1"/>
  <pageMargins left="0.5905511811023623" right="0" top="0.1968503937007874" bottom="0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L173"/>
  <sheetViews>
    <sheetView zoomScalePageLayoutView="0" workbookViewId="0" topLeftCell="A1">
      <selection activeCell="D2" sqref="D2:P2"/>
    </sheetView>
  </sheetViews>
  <sheetFormatPr defaultColWidth="11.421875" defaultRowHeight="12.75"/>
  <cols>
    <col min="2" max="2" width="4.7109375" style="13" hidden="1" customWidth="1"/>
    <col min="3" max="4" width="4.7109375" style="25" customWidth="1"/>
    <col min="5" max="5" width="16.7109375" style="0" customWidth="1"/>
    <col min="6" max="7" width="4.7109375" style="25" customWidth="1"/>
    <col min="8" max="8" width="16.7109375" style="0" customWidth="1"/>
    <col min="9" max="10" width="4.7109375" style="25" customWidth="1"/>
    <col min="11" max="11" width="16.7109375" style="0" customWidth="1"/>
    <col min="12" max="13" width="4.7109375" style="25" customWidth="1"/>
    <col min="14" max="14" width="16.7109375" style="0" customWidth="1"/>
    <col min="15" max="16" width="4.7109375" style="25" customWidth="1"/>
    <col min="17" max="17" width="16.7109375" style="0" customWidth="1"/>
    <col min="18" max="19" width="4.7109375" style="13" hidden="1" customWidth="1"/>
    <col min="20" max="20" width="18.7109375" style="11" hidden="1" customWidth="1"/>
    <col min="21" max="22" width="4.7109375" style="13" hidden="1" customWidth="1"/>
    <col min="23" max="23" width="18.7109375" style="11" hidden="1" customWidth="1"/>
    <col min="24" max="25" width="4.7109375" style="13" hidden="1" customWidth="1"/>
    <col min="26" max="26" width="18.7109375" style="11" hidden="1" customWidth="1"/>
    <col min="27" max="28" width="4.7109375" style="13" hidden="1" customWidth="1"/>
    <col min="29" max="29" width="18.7109375" style="11" hidden="1" customWidth="1"/>
    <col min="30" max="31" width="4.7109375" style="13" hidden="1" customWidth="1"/>
    <col min="32" max="32" width="18.7109375" style="11" hidden="1" customWidth="1"/>
  </cols>
  <sheetData>
    <row r="1" spans="2:32" s="203" customFormat="1" ht="27" customHeight="1">
      <c r="B1" s="258"/>
      <c r="C1" s="259"/>
      <c r="D1" s="737" t="s">
        <v>112</v>
      </c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R1" s="258"/>
      <c r="S1" s="258"/>
      <c r="T1" s="260"/>
      <c r="U1" s="258"/>
      <c r="V1" s="258"/>
      <c r="W1" s="260"/>
      <c r="X1" s="258"/>
      <c r="Y1" s="258"/>
      <c r="Z1" s="260"/>
      <c r="AA1" s="258"/>
      <c r="AB1" s="258"/>
      <c r="AC1" s="260"/>
      <c r="AD1" s="258"/>
      <c r="AE1" s="258"/>
      <c r="AF1" s="260"/>
    </row>
    <row r="2" spans="4:34" s="203" customFormat="1" ht="23.25" customHeight="1">
      <c r="D2" s="736" t="s">
        <v>570</v>
      </c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R2" s="261"/>
      <c r="S2" s="261"/>
      <c r="T2" s="260"/>
      <c r="U2" s="258"/>
      <c r="V2" s="258"/>
      <c r="W2" s="260"/>
      <c r="X2" s="258"/>
      <c r="Y2" s="258"/>
      <c r="Z2" s="260"/>
      <c r="AA2" s="258"/>
      <c r="AB2" s="258"/>
      <c r="AC2" s="260"/>
      <c r="AD2" s="258"/>
      <c r="AE2" s="258"/>
      <c r="AF2" s="260"/>
      <c r="AG2" s="260" t="s">
        <v>124</v>
      </c>
      <c r="AH2" s="260"/>
    </row>
    <row r="3" spans="4:36" s="203" customFormat="1" ht="15.75" customHeight="1">
      <c r="D3" s="262"/>
      <c r="E3" s="740" t="s">
        <v>141</v>
      </c>
      <c r="F3" s="740"/>
      <c r="G3" s="740"/>
      <c r="H3" s="297" t="s">
        <v>241</v>
      </c>
      <c r="I3" s="178"/>
      <c r="K3" s="204" t="s">
        <v>113</v>
      </c>
      <c r="N3" s="157" t="str">
        <f>IF(N172=0,Q173,N173)</f>
        <v>01.07.</v>
      </c>
      <c r="O3" s="741">
        <f>IF(N172=0,Q172,N172)</f>
        <v>1999</v>
      </c>
      <c r="P3" s="741"/>
      <c r="R3" s="261"/>
      <c r="S3" s="261"/>
      <c r="T3" s="260"/>
      <c r="U3" s="258"/>
      <c r="V3" s="258"/>
      <c r="W3" s="260"/>
      <c r="X3" s="258"/>
      <c r="Y3" s="258"/>
      <c r="Z3" s="260"/>
      <c r="AA3" s="258"/>
      <c r="AB3" s="258"/>
      <c r="AC3" s="260"/>
      <c r="AD3" s="258"/>
      <c r="AE3" s="258"/>
      <c r="AF3" s="260"/>
      <c r="AG3" s="260" t="s">
        <v>125</v>
      </c>
      <c r="AH3" s="260"/>
      <c r="AI3" s="260"/>
      <c r="AJ3" s="260"/>
    </row>
    <row r="4" spans="6:35" s="203" customFormat="1" ht="18" customHeight="1">
      <c r="F4" s="738" t="s">
        <v>565</v>
      </c>
      <c r="G4" s="738"/>
      <c r="H4" s="738"/>
      <c r="I4" s="263"/>
      <c r="J4" s="264"/>
      <c r="K4" s="96">
        <v>41692</v>
      </c>
      <c r="L4" s="265" t="s">
        <v>92</v>
      </c>
      <c r="M4" s="739">
        <f>IF(K4="Dat 1.Tg","Dat 2.Tg",K4+1)</f>
        <v>41693</v>
      </c>
      <c r="N4" s="739"/>
      <c r="R4" s="261"/>
      <c r="S4" s="261"/>
      <c r="T4" s="260"/>
      <c r="U4" s="258"/>
      <c r="V4" s="258"/>
      <c r="W4" s="260"/>
      <c r="X4" s="258"/>
      <c r="Y4" s="258"/>
      <c r="Z4" s="260"/>
      <c r="AA4" s="258"/>
      <c r="AB4" s="258"/>
      <c r="AC4" s="260"/>
      <c r="AD4" s="258"/>
      <c r="AE4" s="258"/>
      <c r="AF4" s="260"/>
      <c r="AG4" s="260" t="s">
        <v>126</v>
      </c>
      <c r="AH4" s="260"/>
      <c r="AI4" s="260"/>
    </row>
    <row r="5" spans="1:34" s="203" customFormat="1" ht="18" customHeight="1">
      <c r="A5" s="742" t="s">
        <v>102</v>
      </c>
      <c r="B5" s="742"/>
      <c r="C5" s="742"/>
      <c r="D5" s="742"/>
      <c r="E5" s="742"/>
      <c r="F5" s="742"/>
      <c r="G5" s="742"/>
      <c r="H5" s="742"/>
      <c r="I5" s="738" t="s">
        <v>559</v>
      </c>
      <c r="J5" s="738"/>
      <c r="K5" s="738"/>
      <c r="L5" s="738"/>
      <c r="M5" s="738"/>
      <c r="R5" s="261"/>
      <c r="S5" s="261"/>
      <c r="T5" s="260"/>
      <c r="U5" s="258"/>
      <c r="V5" s="258"/>
      <c r="W5" s="260"/>
      <c r="X5" s="258"/>
      <c r="Y5" s="258"/>
      <c r="Z5" s="260"/>
      <c r="AA5" s="258"/>
      <c r="AB5" s="258"/>
      <c r="AC5" s="260"/>
      <c r="AD5" s="258"/>
      <c r="AE5" s="258"/>
      <c r="AF5" s="260"/>
      <c r="AG5" s="260" t="s">
        <v>127</v>
      </c>
      <c r="AH5" s="260"/>
    </row>
    <row r="6" spans="1:32" s="203" customFormat="1" ht="18" customHeight="1">
      <c r="A6" s="714" t="s">
        <v>63</v>
      </c>
      <c r="B6" s="714"/>
      <c r="C6" s="714"/>
      <c r="D6" s="714"/>
      <c r="E6" s="714"/>
      <c r="F6" s="715"/>
      <c r="G6" s="715"/>
      <c r="H6" s="714"/>
      <c r="I6" s="715"/>
      <c r="J6" s="715"/>
      <c r="K6" s="714"/>
      <c r="L6" s="715"/>
      <c r="M6" s="715"/>
      <c r="N6" s="714"/>
      <c r="O6" s="715"/>
      <c r="P6" s="715"/>
      <c r="Q6" s="714"/>
      <c r="R6" s="266"/>
      <c r="S6" s="266"/>
      <c r="T6" s="260"/>
      <c r="U6" s="258"/>
      <c r="V6" s="258"/>
      <c r="W6" s="260"/>
      <c r="X6" s="258"/>
      <c r="Y6" s="258"/>
      <c r="Z6" s="260"/>
      <c r="AA6" s="258"/>
      <c r="AB6" s="258"/>
      <c r="AC6" s="260"/>
      <c r="AD6" s="258"/>
      <c r="AE6" s="258"/>
      <c r="AF6" s="260"/>
    </row>
    <row r="7" spans="1:32" s="203" customFormat="1" ht="15" customHeight="1" thickBot="1">
      <c r="A7" s="716" t="s">
        <v>5</v>
      </c>
      <c r="B7" s="716"/>
      <c r="C7" s="716"/>
      <c r="D7" s="716"/>
      <c r="E7" s="716"/>
      <c r="F7" s="717"/>
      <c r="G7" s="717"/>
      <c r="H7" s="716"/>
      <c r="I7" s="717"/>
      <c r="J7" s="717"/>
      <c r="K7" s="716"/>
      <c r="L7" s="717"/>
      <c r="M7" s="717"/>
      <c r="N7" s="716"/>
      <c r="O7" s="717"/>
      <c r="P7" s="717"/>
      <c r="Q7" s="716"/>
      <c r="R7" s="267"/>
      <c r="S7" s="267"/>
      <c r="T7" s="260"/>
      <c r="U7" s="258"/>
      <c r="V7" s="258"/>
      <c r="W7" s="260"/>
      <c r="X7" s="258"/>
      <c r="Y7" s="258"/>
      <c r="Z7" s="260"/>
      <c r="AA7" s="258"/>
      <c r="AB7" s="258"/>
      <c r="AC7" s="260"/>
      <c r="AD7" s="258"/>
      <c r="AE7" s="258"/>
      <c r="AF7" s="260"/>
    </row>
    <row r="8" spans="1:32" s="264" customFormat="1" ht="12.75" customHeight="1" thickBot="1" thickTop="1">
      <c r="A8" s="711" t="s">
        <v>86</v>
      </c>
      <c r="B8" s="268"/>
      <c r="C8" s="721" t="s">
        <v>86</v>
      </c>
      <c r="D8" s="722"/>
      <c r="E8" s="723"/>
      <c r="F8" s="721" t="s">
        <v>86</v>
      </c>
      <c r="G8" s="722"/>
      <c r="H8" s="723"/>
      <c r="I8" s="721" t="s">
        <v>86</v>
      </c>
      <c r="J8" s="722"/>
      <c r="K8" s="723"/>
      <c r="L8" s="721" t="s">
        <v>86</v>
      </c>
      <c r="M8" s="722"/>
      <c r="N8" s="723"/>
      <c r="O8"/>
      <c r="P8"/>
      <c r="Q8"/>
      <c r="R8" s="267"/>
      <c r="S8" s="267"/>
      <c r="T8" s="260"/>
      <c r="U8" s="258"/>
      <c r="V8" s="258"/>
      <c r="W8" s="260"/>
      <c r="X8" s="258"/>
      <c r="Y8" s="258"/>
      <c r="Z8" s="260"/>
      <c r="AA8" s="258"/>
      <c r="AB8" s="258"/>
      <c r="AC8" s="260"/>
      <c r="AD8" s="258"/>
      <c r="AE8" s="258"/>
      <c r="AF8" s="260"/>
    </row>
    <row r="9" spans="1:34" s="264" customFormat="1" ht="12.75" customHeight="1" thickTop="1">
      <c r="A9" s="712"/>
      <c r="B9" s="269"/>
      <c r="C9" s="724" t="s">
        <v>403</v>
      </c>
      <c r="D9" s="725"/>
      <c r="E9" s="726"/>
      <c r="F9" s="724" t="s">
        <v>404</v>
      </c>
      <c r="G9" s="725"/>
      <c r="H9" s="726"/>
      <c r="I9" s="724" t="s">
        <v>566</v>
      </c>
      <c r="J9" s="725"/>
      <c r="K9" s="726"/>
      <c r="L9" s="724" t="s">
        <v>567</v>
      </c>
      <c r="M9" s="725"/>
      <c r="N9" s="726"/>
      <c r="O9"/>
      <c r="P9"/>
      <c r="Q9"/>
      <c r="R9" s="267"/>
      <c r="S9" s="267"/>
      <c r="T9" s="260"/>
      <c r="U9" s="258"/>
      <c r="V9" s="258"/>
      <c r="W9" s="260"/>
      <c r="X9" s="258"/>
      <c r="Y9" s="258"/>
      <c r="Z9" s="260"/>
      <c r="AA9" s="258"/>
      <c r="AB9" s="258"/>
      <c r="AC9" s="260"/>
      <c r="AD9" s="258"/>
      <c r="AE9" s="258"/>
      <c r="AF9" s="260"/>
      <c r="AG9" s="260" t="s">
        <v>103</v>
      </c>
      <c r="AH9" s="260"/>
    </row>
    <row r="10" spans="1:34" s="203" customFormat="1" ht="12.75" customHeight="1" thickBot="1">
      <c r="A10" s="713"/>
      <c r="B10" s="270"/>
      <c r="C10" s="718" t="s">
        <v>278</v>
      </c>
      <c r="D10" s="719"/>
      <c r="E10" s="720"/>
      <c r="F10" s="729" t="s">
        <v>461</v>
      </c>
      <c r="G10" s="730"/>
      <c r="H10" s="731"/>
      <c r="I10" s="718" t="s">
        <v>414</v>
      </c>
      <c r="J10" s="719"/>
      <c r="K10" s="720"/>
      <c r="L10" s="718" t="s">
        <v>559</v>
      </c>
      <c r="M10" s="719"/>
      <c r="N10" s="720"/>
      <c r="O10"/>
      <c r="P10"/>
      <c r="Q10"/>
      <c r="R10" s="203" t="str">
        <f>C145</f>
        <v>TSV LoLa</v>
      </c>
      <c r="U10" s="203" t="str">
        <f>F145</f>
        <v>Güstrower SC 09</v>
      </c>
      <c r="X10" s="203" t="str">
        <f>I145</f>
        <v>SG Stern Kaulsdorf</v>
      </c>
      <c r="AA10" s="203" t="e">
        <f>#REF!</f>
        <v>#REF!</v>
      </c>
      <c r="AD10" s="735">
        <f>L145</f>
        <v>0</v>
      </c>
      <c r="AE10" s="735"/>
      <c r="AF10" s="735"/>
      <c r="AG10" s="260" t="s">
        <v>86</v>
      </c>
      <c r="AH10" s="260"/>
    </row>
    <row r="11" spans="1:32" s="264" customFormat="1" ht="12.75" customHeight="1" thickBot="1" thickTop="1">
      <c r="A11" s="732" t="s">
        <v>38</v>
      </c>
      <c r="B11" s="271"/>
      <c r="C11" s="175" t="s">
        <v>89</v>
      </c>
      <c r="D11" s="176" t="s">
        <v>18</v>
      </c>
      <c r="E11" s="177" t="s">
        <v>90</v>
      </c>
      <c r="F11" s="175" t="s">
        <v>89</v>
      </c>
      <c r="G11" s="176" t="s">
        <v>18</v>
      </c>
      <c r="H11" s="177" t="s">
        <v>90</v>
      </c>
      <c r="I11" s="175" t="s">
        <v>89</v>
      </c>
      <c r="J11" s="176" t="s">
        <v>18</v>
      </c>
      <c r="K11" s="177" t="s">
        <v>90</v>
      </c>
      <c r="L11" s="175" t="s">
        <v>89</v>
      </c>
      <c r="M11" s="176" t="s">
        <v>18</v>
      </c>
      <c r="N11" s="177" t="s">
        <v>90</v>
      </c>
      <c r="O11"/>
      <c r="P11"/>
      <c r="Q11"/>
      <c r="AD11" s="272"/>
      <c r="AE11" s="272"/>
      <c r="AF11" s="272"/>
    </row>
    <row r="12" spans="1:31" s="258" customFormat="1" ht="12.75" customHeight="1" hidden="1" thickBot="1">
      <c r="A12" s="733"/>
      <c r="B12" s="273"/>
      <c r="C12" s="274">
        <v>10</v>
      </c>
      <c r="D12" s="274"/>
      <c r="E12" s="275"/>
      <c r="F12" s="274">
        <v>22</v>
      </c>
      <c r="G12" s="274"/>
      <c r="H12" s="275"/>
      <c r="I12" s="274">
        <v>34</v>
      </c>
      <c r="J12" s="274"/>
      <c r="K12" s="275"/>
      <c r="L12" s="274">
        <v>46</v>
      </c>
      <c r="M12" s="274"/>
      <c r="N12" s="275"/>
      <c r="O12"/>
      <c r="P12"/>
      <c r="Q12"/>
      <c r="R12" s="267">
        <v>70</v>
      </c>
      <c r="S12" s="267"/>
      <c r="U12" s="267">
        <v>82</v>
      </c>
      <c r="V12" s="267"/>
      <c r="X12" s="267">
        <v>94</v>
      </c>
      <c r="Y12" s="267"/>
      <c r="AA12" s="267">
        <v>106</v>
      </c>
      <c r="AB12" s="267"/>
      <c r="AD12" s="267">
        <v>118</v>
      </c>
      <c r="AE12" s="267"/>
    </row>
    <row r="13" spans="1:32" s="203" customFormat="1" ht="12.75" customHeight="1">
      <c r="A13" s="733"/>
      <c r="B13" s="276">
        <v>10</v>
      </c>
      <c r="C13" s="158">
        <f>IF('Spielereinsatzliste A1'!B15="","",'Spielereinsatzliste A1'!B15)</f>
      </c>
      <c r="D13" s="159">
        <f>IF('Spielereinsatzliste A1'!C15="","",'Spielereinsatzliste A1'!C15)</f>
      </c>
      <c r="E13" s="160" t="str">
        <f>IF('Spielereinsatzliste A1'!D15="","",'Spielereinsatzliste A1'!D15)</f>
        <v>Brockmann, Hannes</v>
      </c>
      <c r="F13" s="158">
        <f>IF('Spielereinsatzliste A2'!B15="","",'Spielereinsatzliste A2'!B15)</f>
      </c>
      <c r="G13" s="159">
        <f>IF('Spielereinsatzliste A2'!C15="","",'Spielereinsatzliste A2'!C15)</f>
      </c>
      <c r="H13" s="160" t="str">
        <f>IF('Spielereinsatzliste A2'!D15="","",'Spielereinsatzliste A2'!D15)</f>
        <v>Maack, Eike</v>
      </c>
      <c r="I13" s="158">
        <f>IF('Spielereinsatzliste A3'!B15="","",'Spielereinsatzliste A3'!B15)</f>
      </c>
      <c r="J13" s="159">
        <f>IF('Spielereinsatzliste A3'!C15="","",'Spielereinsatzliste A3'!C15)</f>
      </c>
      <c r="K13" s="161" t="str">
        <f>IF('Spielereinsatzliste A3'!D15="","",'Spielereinsatzliste A3'!D15)</f>
        <v>Tschitschke, Maik</v>
      </c>
      <c r="L13" s="158">
        <f>IF('Spielereinsatzliste A4'!B15="","",'Spielereinsatzliste A4'!B15)</f>
      </c>
      <c r="M13" s="159">
        <f>IF('Spielereinsatzliste A4'!C15="","",'Spielereinsatzliste A4'!C15)</f>
      </c>
      <c r="N13" s="160" t="str">
        <f>IF('Spielereinsatzliste A4'!D15="","",'Spielereinsatzliste A4'!D15)</f>
        <v>Schlegel, Hendrik</v>
      </c>
      <c r="O13"/>
      <c r="P13"/>
      <c r="Q13"/>
      <c r="R13" s="277">
        <f aca="true" t="shared" si="0" ref="R13:Z13">C147</f>
      </c>
      <c r="S13" s="277">
        <f t="shared" si="0"/>
      </c>
      <c r="T13" s="277" t="str">
        <f t="shared" si="0"/>
        <v>Butzke, Kjell</v>
      </c>
      <c r="U13" s="277">
        <f t="shared" si="0"/>
      </c>
      <c r="V13" s="277">
        <f t="shared" si="0"/>
      </c>
      <c r="W13" s="277" t="str">
        <f t="shared" si="0"/>
        <v>Mohns, Derian</v>
      </c>
      <c r="X13" s="277">
        <f t="shared" si="0"/>
      </c>
      <c r="Y13" s="277">
        <f t="shared" si="0"/>
      </c>
      <c r="Z13" s="277" t="str">
        <f t="shared" si="0"/>
        <v>Böhm, Max</v>
      </c>
      <c r="AA13" s="277" t="e">
        <f>#REF!</f>
        <v>#REF!</v>
      </c>
      <c r="AB13" s="277" t="e">
        <f>#REF!</f>
        <v>#REF!</v>
      </c>
      <c r="AC13" s="277" t="e">
        <f>#REF!</f>
        <v>#REF!</v>
      </c>
      <c r="AD13" s="277">
        <f>L147</f>
        <v>0</v>
      </c>
      <c r="AE13" s="277">
        <f>M147</f>
        <v>0</v>
      </c>
      <c r="AF13" s="277">
        <f>S147</f>
        <v>0</v>
      </c>
    </row>
    <row r="14" spans="1:34" s="203" customFormat="1" ht="12.75" customHeight="1" thickBot="1">
      <c r="A14" s="733"/>
      <c r="B14" s="278">
        <v>11</v>
      </c>
      <c r="C14" s="162">
        <f>IF('Spielereinsatzliste A1'!B16="","",'Spielereinsatzliste A1'!B16)</f>
      </c>
      <c r="D14" s="163">
        <f>IF('Spielereinsatzliste A1'!C16="","",'Spielereinsatzliste A1'!C16)</f>
      </c>
      <c r="E14" s="161" t="str">
        <f>IF('Spielereinsatzliste A1'!D16="","",'Spielereinsatzliste A1'!D16)</f>
        <v>Kadgien, Leif</v>
      </c>
      <c r="F14" s="162">
        <f>IF('Spielereinsatzliste A2'!B16="","",'Spielereinsatzliste A2'!B16)</f>
      </c>
      <c r="G14" s="163">
        <f>IF('Spielereinsatzliste A2'!C16="","",'Spielereinsatzliste A2'!C16)</f>
      </c>
      <c r="H14" s="161" t="str">
        <f>IF('Spielereinsatzliste A2'!D16="","",'Spielereinsatzliste A2'!D16)</f>
        <v>von Seelen, Felix</v>
      </c>
      <c r="I14" s="162">
        <f>IF('Spielereinsatzliste A3'!B16="","",'Spielereinsatzliste A3'!B16)</f>
      </c>
      <c r="J14" s="163">
        <f>IF('Spielereinsatzliste A3'!C16="","",'Spielereinsatzliste A3'!C16)</f>
      </c>
      <c r="K14" s="161" t="str">
        <f>IF('Spielereinsatzliste A3'!D16="","",'Spielereinsatzliste A3'!D16)</f>
        <v>Richter, Willi</v>
      </c>
      <c r="L14" s="162">
        <f>IF('Spielereinsatzliste A4'!B16="","",'Spielereinsatzliste A4'!B16)</f>
      </c>
      <c r="M14" s="163">
        <f>IF('Spielereinsatzliste A4'!C16="","",'Spielereinsatzliste A4'!C16)</f>
      </c>
      <c r="N14" s="161" t="str">
        <f>IF('Spielereinsatzliste A4'!D16="","",'Spielereinsatzliste A4'!D16)</f>
        <v>Linus, Richter</v>
      </c>
      <c r="O14"/>
      <c r="P14"/>
      <c r="Q14"/>
      <c r="R14" s="277">
        <f aca="true" t="shared" si="1" ref="R14:R24">C148</f>
      </c>
      <c r="S14" s="277">
        <f aca="true" t="shared" si="2" ref="S14:S24">D148</f>
      </c>
      <c r="T14" s="277" t="str">
        <f aca="true" t="shared" si="3" ref="T14:T24">E148</f>
        <v>Stumpenhagen, Robin</v>
      </c>
      <c r="U14" s="277">
        <f aca="true" t="shared" si="4" ref="U14:U24">F148</f>
      </c>
      <c r="V14" s="277">
        <f aca="true" t="shared" si="5" ref="V14:V24">G148</f>
      </c>
      <c r="W14" s="277" t="str">
        <f aca="true" t="shared" si="6" ref="W14:W24">H148</f>
        <v>Schulz, Till</v>
      </c>
      <c r="X14" s="277">
        <f aca="true" t="shared" si="7" ref="X14:X24">I148</f>
      </c>
      <c r="Y14" s="277">
        <f aca="true" t="shared" si="8" ref="Y14:Y24">J148</f>
      </c>
      <c r="Z14" s="277" t="str">
        <f aca="true" t="shared" si="9" ref="Z14:Z24">K148</f>
        <v>Kutz, André</v>
      </c>
      <c r="AA14" s="277" t="e">
        <f>#REF!</f>
        <v>#REF!</v>
      </c>
      <c r="AB14" s="277" t="e">
        <f>#REF!</f>
        <v>#REF!</v>
      </c>
      <c r="AC14" s="277" t="e">
        <f>#REF!</f>
        <v>#REF!</v>
      </c>
      <c r="AD14" s="277">
        <f aca="true" t="shared" si="10" ref="AD14:AD24">L148</f>
        <v>0</v>
      </c>
      <c r="AE14" s="277">
        <f aca="true" t="shared" si="11" ref="AE14:AE24">M148</f>
        <v>0</v>
      </c>
      <c r="AF14" s="277">
        <f aca="true" t="shared" si="12" ref="AF14:AF24">S148</f>
        <v>0</v>
      </c>
      <c r="AG14" s="279" t="s">
        <v>104</v>
      </c>
      <c r="AH14" s="279"/>
    </row>
    <row r="15" spans="1:34" s="203" customFormat="1" ht="12.75" customHeight="1">
      <c r="A15" s="733"/>
      <c r="B15" s="276">
        <v>12</v>
      </c>
      <c r="C15" s="162">
        <f>IF('Spielereinsatzliste A1'!B17="","",'Spielereinsatzliste A1'!B17)</f>
      </c>
      <c r="D15" s="163">
        <f>IF('Spielereinsatzliste A1'!C17="","",'Spielereinsatzliste A1'!C17)</f>
      </c>
      <c r="E15" s="161" t="str">
        <f>IF('Spielereinsatzliste A1'!D17="","",'Spielereinsatzliste A1'!D17)</f>
        <v>Magens-Greve, Mats</v>
      </c>
      <c r="F15" s="162">
        <f>IF('Spielereinsatzliste A2'!B17="","",'Spielereinsatzliste A2'!B17)</f>
      </c>
      <c r="G15" s="163">
        <f>IF('Spielereinsatzliste A2'!C17="","",'Spielereinsatzliste A2'!C17)</f>
      </c>
      <c r="H15" s="161" t="str">
        <f>IF('Spielereinsatzliste A2'!D17="","",'Spielereinsatzliste A2'!D17)</f>
        <v>Lingelbach, Christian</v>
      </c>
      <c r="I15" s="162">
        <f>IF('Spielereinsatzliste A3'!B17="","",'Spielereinsatzliste A3'!B17)</f>
      </c>
      <c r="J15" s="163">
        <f>IF('Spielereinsatzliste A3'!C17="","",'Spielereinsatzliste A3'!C17)</f>
      </c>
      <c r="K15" s="161" t="str">
        <f>IF('Spielereinsatzliste A3'!D17="","",'Spielereinsatzliste A3'!D17)</f>
        <v>Pfänder, Lukas</v>
      </c>
      <c r="L15" s="162">
        <f>IF('Spielereinsatzliste A4'!B17="","",'Spielereinsatzliste A4'!B17)</f>
      </c>
      <c r="M15" s="163">
        <f>IF('Spielereinsatzliste A4'!C17="","",'Spielereinsatzliste A4'!C17)</f>
      </c>
      <c r="N15" s="161" t="str">
        <f>IF('Spielereinsatzliste A4'!D17="","",'Spielereinsatzliste A4'!D17)</f>
        <v>Aßmann, Tim</v>
      </c>
      <c r="O15"/>
      <c r="P15"/>
      <c r="Q15"/>
      <c r="R15" s="277">
        <f t="shared" si="1"/>
      </c>
      <c r="S15" s="277">
        <f t="shared" si="2"/>
      </c>
      <c r="T15" s="277" t="str">
        <f t="shared" si="3"/>
        <v>Gabriel, René</v>
      </c>
      <c r="U15" s="277">
        <f t="shared" si="4"/>
      </c>
      <c r="V15" s="277">
        <f t="shared" si="5"/>
      </c>
      <c r="W15" s="277" t="str">
        <f t="shared" si="6"/>
        <v>Moritz, Leon</v>
      </c>
      <c r="X15" s="277">
        <f t="shared" si="7"/>
      </c>
      <c r="Y15" s="277">
        <f t="shared" si="8"/>
      </c>
      <c r="Z15" s="277" t="str">
        <f t="shared" si="9"/>
        <v>Päßler, Randy-René</v>
      </c>
      <c r="AA15" s="277" t="e">
        <f>#REF!</f>
        <v>#REF!</v>
      </c>
      <c r="AB15" s="277" t="e">
        <f>#REF!</f>
        <v>#REF!</v>
      </c>
      <c r="AC15" s="277" t="e">
        <f>#REF!</f>
        <v>#REF!</v>
      </c>
      <c r="AD15" s="277">
        <f t="shared" si="10"/>
        <v>0</v>
      </c>
      <c r="AE15" s="277">
        <f t="shared" si="11"/>
        <v>0</v>
      </c>
      <c r="AF15" s="277">
        <f t="shared" si="12"/>
        <v>0</v>
      </c>
      <c r="AG15" s="279" t="s">
        <v>105</v>
      </c>
      <c r="AH15" s="279"/>
    </row>
    <row r="16" spans="1:34" s="203" customFormat="1" ht="12.75" customHeight="1" thickBot="1">
      <c r="A16" s="733"/>
      <c r="B16" s="278">
        <v>13</v>
      </c>
      <c r="C16" s="162">
        <f>IF('Spielereinsatzliste A1'!B18="","",'Spielereinsatzliste A1'!B18)</f>
      </c>
      <c r="D16" s="163">
        <f>IF('Spielereinsatzliste A1'!C18="","",'Spielereinsatzliste A1'!C18)</f>
      </c>
      <c r="E16" s="161" t="str">
        <f>IF('Spielereinsatzliste A1'!D18="","",'Spielereinsatzliste A1'!D18)</f>
        <v>Ralfs, Nico</v>
      </c>
      <c r="F16" s="162">
        <f>IF('Spielereinsatzliste A2'!B18="","",'Spielereinsatzliste A2'!B18)</f>
      </c>
      <c r="G16" s="163">
        <f>IF('Spielereinsatzliste A2'!C18="","",'Spielereinsatzliste A2'!C18)</f>
      </c>
      <c r="H16" s="161" t="str">
        <f>IF('Spielereinsatzliste A2'!D18="","",'Spielereinsatzliste A2'!D18)</f>
        <v>Schuldt, Ole</v>
      </c>
      <c r="I16" s="162">
        <f>IF('Spielereinsatzliste A3'!B18="","",'Spielereinsatzliste A3'!B18)</f>
      </c>
      <c r="J16" s="163">
        <f>IF('Spielereinsatzliste A3'!C18="","",'Spielereinsatzliste A3'!C18)</f>
      </c>
      <c r="K16" s="161" t="str">
        <f>IF('Spielereinsatzliste A3'!D18="","",'Spielereinsatzliste A3'!D18)</f>
        <v>Peppernick, Paul</v>
      </c>
      <c r="L16" s="162">
        <f>IF('Spielereinsatzliste A4'!B18="","",'Spielereinsatzliste A4'!B18)</f>
      </c>
      <c r="M16" s="163">
        <f>IF('Spielereinsatzliste A4'!C18="","",'Spielereinsatzliste A4'!C18)</f>
      </c>
      <c r="N16" s="161" t="str">
        <f>IF('Spielereinsatzliste A4'!D18="","",'Spielereinsatzliste A4'!D18)</f>
        <v>Wilksen, Lean</v>
      </c>
      <c r="O16"/>
      <c r="P16"/>
      <c r="Q16"/>
      <c r="R16" s="277">
        <f t="shared" si="1"/>
      </c>
      <c r="S16" s="277">
        <f t="shared" si="2"/>
      </c>
      <c r="T16" s="277" t="str">
        <f t="shared" si="3"/>
        <v>Himmelhan, Hannes</v>
      </c>
      <c r="U16" s="277">
        <f t="shared" si="4"/>
      </c>
      <c r="V16" s="277">
        <f t="shared" si="5"/>
      </c>
      <c r="W16" s="277" t="str">
        <f t="shared" si="6"/>
        <v>Dolgow, Danny</v>
      </c>
      <c r="X16" s="277">
        <f t="shared" si="7"/>
      </c>
      <c r="Y16" s="277">
        <f t="shared" si="8"/>
      </c>
      <c r="Z16" s="277" t="str">
        <f t="shared" si="9"/>
        <v>Schaab, Oliver</v>
      </c>
      <c r="AA16" s="277" t="e">
        <f>#REF!</f>
        <v>#REF!</v>
      </c>
      <c r="AB16" s="277" t="e">
        <f>#REF!</f>
        <v>#REF!</v>
      </c>
      <c r="AC16" s="277" t="e">
        <f>#REF!</f>
        <v>#REF!</v>
      </c>
      <c r="AD16" s="277">
        <f t="shared" si="10"/>
        <v>0</v>
      </c>
      <c r="AE16" s="277">
        <f t="shared" si="11"/>
        <v>0</v>
      </c>
      <c r="AF16" s="277">
        <f t="shared" si="12"/>
        <v>0</v>
      </c>
      <c r="AG16" s="279" t="s">
        <v>106</v>
      </c>
      <c r="AH16" s="279"/>
    </row>
    <row r="17" spans="1:34" s="203" customFormat="1" ht="12.75" customHeight="1">
      <c r="A17" s="733"/>
      <c r="B17" s="276">
        <v>14</v>
      </c>
      <c r="C17" s="162">
        <f>IF('Spielereinsatzliste A1'!B19="","",'Spielereinsatzliste A1'!B19)</f>
      </c>
      <c r="D17" s="163">
        <f>IF('Spielereinsatzliste A1'!C19="","",'Spielereinsatzliste A1'!C19)</f>
      </c>
      <c r="E17" s="161" t="str">
        <f>IF('Spielereinsatzliste A1'!D19="","",'Spielereinsatzliste A1'!D19)</f>
        <v>Durchdewald, Anton</v>
      </c>
      <c r="F17" s="162">
        <f>IF('Spielereinsatzliste A2'!B19="","",'Spielereinsatzliste A2'!B19)</f>
      </c>
      <c r="G17" s="163">
        <f>IF('Spielereinsatzliste A2'!C19="","",'Spielereinsatzliste A2'!C19)</f>
      </c>
      <c r="H17" s="161" t="str">
        <f>IF('Spielereinsatzliste A2'!D19="","",'Spielereinsatzliste A2'!D19)</f>
        <v>Omar, Laichaoui</v>
      </c>
      <c r="I17" s="162">
        <f>IF('Spielereinsatzliste A3'!B19="","",'Spielereinsatzliste A3'!B19)</f>
      </c>
      <c r="J17" s="163">
        <f>IF('Spielereinsatzliste A3'!C19="","",'Spielereinsatzliste A3'!C19)</f>
      </c>
      <c r="K17" s="161" t="str">
        <f>IF('Spielereinsatzliste A3'!D19="","",'Spielereinsatzliste A3'!D19)</f>
        <v>Böttcher, Johann-Georg</v>
      </c>
      <c r="L17" s="162">
        <f>IF('Spielereinsatzliste A4'!B19="","",'Spielereinsatzliste A4'!B19)</f>
      </c>
      <c r="M17" s="163">
        <f>IF('Spielereinsatzliste A4'!C19="","",'Spielereinsatzliste A4'!C19)</f>
      </c>
      <c r="N17" s="161" t="str">
        <f>IF('Spielereinsatzliste A4'!D19="","",'Spielereinsatzliste A4'!D19)</f>
        <v>Wilksen, Tobias</v>
      </c>
      <c r="O17"/>
      <c r="P17"/>
      <c r="Q17"/>
      <c r="R17" s="277">
        <f t="shared" si="1"/>
      </c>
      <c r="S17" s="277">
        <f t="shared" si="2"/>
      </c>
      <c r="T17" s="277" t="str">
        <f t="shared" si="3"/>
        <v>Hullmann, Till</v>
      </c>
      <c r="U17" s="277">
        <f t="shared" si="4"/>
      </c>
      <c r="V17" s="277">
        <f t="shared" si="5"/>
      </c>
      <c r="W17" s="277" t="str">
        <f t="shared" si="6"/>
        <v>Dittberner, Jason</v>
      </c>
      <c r="X17" s="277">
        <f t="shared" si="7"/>
      </c>
      <c r="Y17" s="277">
        <f t="shared" si="8"/>
      </c>
      <c r="Z17" s="277">
        <f t="shared" si="9"/>
      </c>
      <c r="AA17" s="277" t="e">
        <f>#REF!</f>
        <v>#REF!</v>
      </c>
      <c r="AB17" s="277" t="e">
        <f>#REF!</f>
        <v>#REF!</v>
      </c>
      <c r="AC17" s="277" t="e">
        <f>#REF!</f>
        <v>#REF!</v>
      </c>
      <c r="AD17" s="277">
        <f t="shared" si="10"/>
        <v>0</v>
      </c>
      <c r="AE17" s="277">
        <f t="shared" si="11"/>
        <v>0</v>
      </c>
      <c r="AF17" s="277">
        <f t="shared" si="12"/>
        <v>0</v>
      </c>
      <c r="AG17" s="279" t="s">
        <v>107</v>
      </c>
      <c r="AH17" s="279"/>
    </row>
    <row r="18" spans="1:34" s="203" customFormat="1" ht="12.75" customHeight="1" thickBot="1">
      <c r="A18" s="733"/>
      <c r="B18" s="278">
        <v>15</v>
      </c>
      <c r="C18" s="162">
        <f>IF('Spielereinsatzliste A1'!B20="","",'Spielereinsatzliste A1'!B20)</f>
      </c>
      <c r="D18" s="163">
        <f>IF('Spielereinsatzliste A1'!C20="","",'Spielereinsatzliste A1'!C20)</f>
      </c>
      <c r="E18" s="161" t="str">
        <f>IF('Spielereinsatzliste A1'!D20="","",'Spielereinsatzliste A1'!D20)</f>
        <v>Pietsch, Till-Julius</v>
      </c>
      <c r="F18" s="162">
        <f>IF('Spielereinsatzliste A2'!B20="","",'Spielereinsatzliste A2'!B20)</f>
      </c>
      <c r="G18" s="163">
        <f>IF('Spielereinsatzliste A2'!C20="","",'Spielereinsatzliste A2'!C20)</f>
      </c>
      <c r="H18" s="161" t="str">
        <f>IF('Spielereinsatzliste A2'!D20="","",'Spielereinsatzliste A2'!D20)</f>
        <v>Maack, Henrik</v>
      </c>
      <c r="I18" s="162">
        <f>IF('Spielereinsatzliste A3'!B20="","",'Spielereinsatzliste A3'!B20)</f>
      </c>
      <c r="J18" s="163">
        <f>IF('Spielereinsatzliste A3'!C20="","",'Spielereinsatzliste A3'!C20)</f>
      </c>
      <c r="K18" s="161" t="str">
        <f>IF('Spielereinsatzliste A3'!D20="","",'Spielereinsatzliste A3'!D20)</f>
        <v>Müller, Simon</v>
      </c>
      <c r="L18" s="162">
        <f>IF('Spielereinsatzliste A4'!B20="","",'Spielereinsatzliste A4'!B20)</f>
      </c>
      <c r="M18" s="163">
        <f>IF('Spielereinsatzliste A4'!C20="","",'Spielereinsatzliste A4'!C20)</f>
      </c>
      <c r="N18" s="161" t="str">
        <f>IF('Spielereinsatzliste A4'!D20="","",'Spielereinsatzliste A4'!D20)</f>
        <v>Kahle, Enrico</v>
      </c>
      <c r="O18"/>
      <c r="P18"/>
      <c r="Q18"/>
      <c r="R18" s="277">
        <f t="shared" si="1"/>
      </c>
      <c r="S18" s="277">
        <f t="shared" si="2"/>
      </c>
      <c r="T18" s="277" t="str">
        <f t="shared" si="3"/>
        <v>Steinleitner, Marvin</v>
      </c>
      <c r="U18" s="277">
        <f t="shared" si="4"/>
      </c>
      <c r="V18" s="277">
        <f t="shared" si="5"/>
      </c>
      <c r="W18" s="277" t="str">
        <f t="shared" si="6"/>
        <v>Kopplow, Justin</v>
      </c>
      <c r="X18" s="277">
        <f t="shared" si="7"/>
      </c>
      <c r="Y18" s="277">
        <f t="shared" si="8"/>
      </c>
      <c r="Z18" s="277">
        <f t="shared" si="9"/>
      </c>
      <c r="AA18" s="277" t="e">
        <f>#REF!</f>
        <v>#REF!</v>
      </c>
      <c r="AB18" s="277" t="e">
        <f>#REF!</f>
        <v>#REF!</v>
      </c>
      <c r="AC18" s="277" t="e">
        <f>#REF!</f>
        <v>#REF!</v>
      </c>
      <c r="AD18" s="277">
        <f t="shared" si="10"/>
        <v>0</v>
      </c>
      <c r="AE18" s="277">
        <f t="shared" si="11"/>
        <v>0</v>
      </c>
      <c r="AF18" s="277">
        <f t="shared" si="12"/>
        <v>0</v>
      </c>
      <c r="AG18" s="279" t="s">
        <v>108</v>
      </c>
      <c r="AH18" s="279"/>
    </row>
    <row r="19" spans="1:32" s="203" customFormat="1" ht="12.75" customHeight="1">
      <c r="A19" s="733"/>
      <c r="B19" s="276">
        <v>16</v>
      </c>
      <c r="C19" s="162">
        <f>IF('Spielereinsatzliste A1'!B21="","",'Spielereinsatzliste A1'!B21)</f>
      </c>
      <c r="D19" s="163">
        <f>IF('Spielereinsatzliste A1'!C21="","",'Spielereinsatzliste A1'!C21)</f>
      </c>
      <c r="E19" s="161">
        <f>IF('Spielereinsatzliste A1'!D21="","",'Spielereinsatzliste A1'!D21)</f>
      </c>
      <c r="F19" s="162">
        <f>IF('Spielereinsatzliste A2'!B21="","",'Spielereinsatzliste A2'!B21)</f>
      </c>
      <c r="G19" s="163">
        <f>IF('Spielereinsatzliste A2'!C21="","",'Spielereinsatzliste A2'!C21)</f>
      </c>
      <c r="H19" s="161" t="str">
        <f>IF('Spielereinsatzliste A2'!D21="","",'Spielereinsatzliste A2'!D21)</f>
        <v>Ventz, Tino</v>
      </c>
      <c r="I19" s="162">
        <f>IF('Spielereinsatzliste A3'!B21="","",'Spielereinsatzliste A3'!B21)</f>
      </c>
      <c r="J19" s="163">
        <f>IF('Spielereinsatzliste A3'!C21="","",'Spielereinsatzliste A3'!C21)</f>
      </c>
      <c r="K19" s="161" t="str">
        <f>IF('Spielereinsatzliste A3'!D21="","",'Spielereinsatzliste A3'!D21)</f>
        <v>Mielke, Marc</v>
      </c>
      <c r="L19" s="162">
        <f>IF('Spielereinsatzliste A4'!B21="","",'Spielereinsatzliste A4'!B21)</f>
      </c>
      <c r="M19" s="163">
        <f>IF('Spielereinsatzliste A4'!C21="","",'Spielereinsatzliste A4'!C21)</f>
      </c>
      <c r="N19" s="161">
        <f>IF('Spielereinsatzliste A4'!D21="","",'Spielereinsatzliste A4'!D21)</f>
      </c>
      <c r="O19"/>
      <c r="P19"/>
      <c r="Q19"/>
      <c r="R19" s="277">
        <f t="shared" si="1"/>
      </c>
      <c r="S19" s="277">
        <f t="shared" si="2"/>
      </c>
      <c r="T19" s="277" t="str">
        <f t="shared" si="3"/>
        <v>Dombert, Enrico</v>
      </c>
      <c r="U19" s="277">
        <f t="shared" si="4"/>
      </c>
      <c r="V19" s="277">
        <f t="shared" si="5"/>
      </c>
      <c r="W19" s="277" t="str">
        <f t="shared" si="6"/>
        <v>Dichau, André</v>
      </c>
      <c r="X19" s="277">
        <f t="shared" si="7"/>
      </c>
      <c r="Y19" s="277">
        <f t="shared" si="8"/>
      </c>
      <c r="Z19" s="277">
        <f t="shared" si="9"/>
      </c>
      <c r="AA19" s="277" t="e">
        <f>#REF!</f>
        <v>#REF!</v>
      </c>
      <c r="AB19" s="277" t="e">
        <f>#REF!</f>
        <v>#REF!</v>
      </c>
      <c r="AC19" s="277" t="e">
        <f>#REF!</f>
        <v>#REF!</v>
      </c>
      <c r="AD19" s="277">
        <f t="shared" si="10"/>
        <v>0</v>
      </c>
      <c r="AE19" s="277">
        <f t="shared" si="11"/>
        <v>0</v>
      </c>
      <c r="AF19" s="277">
        <f t="shared" si="12"/>
        <v>0</v>
      </c>
    </row>
    <row r="20" spans="1:32" s="203" customFormat="1" ht="12.75" customHeight="1" thickBot="1">
      <c r="A20" s="734"/>
      <c r="B20" s="278">
        <v>17</v>
      </c>
      <c r="C20" s="162">
        <f>IF('Spielereinsatzliste A1'!B22="","",'Spielereinsatzliste A1'!B22)</f>
      </c>
      <c r="D20" s="163">
        <f>IF('Spielereinsatzliste A1'!C22="","",'Spielereinsatzliste A1'!C22)</f>
      </c>
      <c r="E20" s="161">
        <f>IF('Spielereinsatzliste A1'!D22="","",'Spielereinsatzliste A1'!D22)</f>
      </c>
      <c r="F20" s="162">
        <f>IF('Spielereinsatzliste A2'!B22="","",'Spielereinsatzliste A2'!B22)</f>
      </c>
      <c r="G20" s="163">
        <f>IF('Spielereinsatzliste A2'!C22="","",'Spielereinsatzliste A2'!C22)</f>
      </c>
      <c r="H20" s="161">
        <f>IF('Spielereinsatzliste A2'!D22="","",'Spielereinsatzliste A2'!D22)</f>
      </c>
      <c r="I20" s="162">
        <f>IF('Spielereinsatzliste A3'!B22="","",'Spielereinsatzliste A3'!B22)</f>
      </c>
      <c r="J20" s="163">
        <f>IF('Spielereinsatzliste A3'!C22="","",'Spielereinsatzliste A3'!C22)</f>
      </c>
      <c r="K20" s="161">
        <f>IF('Spielereinsatzliste A3'!D22="","",'Spielereinsatzliste A3'!D22)</f>
      </c>
      <c r="L20" s="162">
        <f>IF('Spielereinsatzliste A4'!B22="","",'Spielereinsatzliste A4'!B22)</f>
      </c>
      <c r="M20" s="163">
        <f>IF('Spielereinsatzliste A4'!C22="","",'Spielereinsatzliste A4'!C22)</f>
      </c>
      <c r="N20" s="161">
        <f>IF('Spielereinsatzliste A4'!D22="","",'Spielereinsatzliste A4'!D22)</f>
      </c>
      <c r="O20"/>
      <c r="P20"/>
      <c r="Q20"/>
      <c r="R20" s="277">
        <f t="shared" si="1"/>
      </c>
      <c r="S20" s="277">
        <f t="shared" si="2"/>
      </c>
      <c r="T20" s="277">
        <f t="shared" si="3"/>
      </c>
      <c r="U20" s="277">
        <f t="shared" si="4"/>
      </c>
      <c r="V20" s="277">
        <f t="shared" si="5"/>
      </c>
      <c r="W20" s="277">
        <f t="shared" si="6"/>
      </c>
      <c r="X20" s="277">
        <f t="shared" si="7"/>
      </c>
      <c r="Y20" s="277">
        <f t="shared" si="8"/>
      </c>
      <c r="Z20" s="277">
        <f t="shared" si="9"/>
      </c>
      <c r="AA20" s="277" t="e">
        <f>#REF!</f>
        <v>#REF!</v>
      </c>
      <c r="AB20" s="277" t="e">
        <f>#REF!</f>
        <v>#REF!</v>
      </c>
      <c r="AC20" s="277" t="e">
        <f>#REF!</f>
        <v>#REF!</v>
      </c>
      <c r="AD20" s="277">
        <f t="shared" si="10"/>
        <v>0</v>
      </c>
      <c r="AE20" s="277">
        <f t="shared" si="11"/>
        <v>0</v>
      </c>
      <c r="AF20" s="277">
        <f t="shared" si="12"/>
        <v>0</v>
      </c>
    </row>
    <row r="21" spans="1:32" s="203" customFormat="1" ht="12.75" customHeight="1">
      <c r="A21" s="734"/>
      <c r="B21" s="276">
        <v>18</v>
      </c>
      <c r="C21" s="162">
        <f>IF('Spielereinsatzliste A1'!B23="","",'Spielereinsatzliste A1'!B23)</f>
      </c>
      <c r="D21" s="163">
        <f>IF('Spielereinsatzliste A1'!C23="","",'Spielereinsatzliste A1'!C23)</f>
      </c>
      <c r="E21" s="161">
        <f>IF('Spielereinsatzliste A1'!D23="","",'Spielereinsatzliste A1'!D23)</f>
      </c>
      <c r="F21" s="162">
        <f>IF('Spielereinsatzliste A2'!B23="","",'Spielereinsatzliste A2'!B23)</f>
      </c>
      <c r="G21" s="163">
        <f>IF('Spielereinsatzliste A2'!C23="","",'Spielereinsatzliste A2'!C23)</f>
      </c>
      <c r="H21" s="161">
        <f>IF('Spielereinsatzliste A2'!D23="","",'Spielereinsatzliste A2'!D23)</f>
      </c>
      <c r="I21" s="162">
        <f>IF('Spielereinsatzliste A3'!B23="","",'Spielereinsatzliste A3'!B23)</f>
      </c>
      <c r="J21" s="163">
        <f>IF('Spielereinsatzliste A3'!C23="","",'Spielereinsatzliste A3'!C23)</f>
      </c>
      <c r="K21" s="161">
        <f>IF('Spielereinsatzliste A3'!D23="","",'Spielereinsatzliste A3'!D23)</f>
      </c>
      <c r="L21" s="162">
        <f>IF('Spielereinsatzliste A4'!B23="","",'Spielereinsatzliste A4'!B23)</f>
      </c>
      <c r="M21" s="163">
        <f>IF('Spielereinsatzliste A4'!C23="","",'Spielereinsatzliste A4'!C23)</f>
      </c>
      <c r="N21" s="161">
        <f>IF('Spielereinsatzliste A4'!D23="","",'Spielereinsatzliste A4'!D23)</f>
      </c>
      <c r="O21"/>
      <c r="P21"/>
      <c r="Q21"/>
      <c r="R21" s="277">
        <f t="shared" si="1"/>
      </c>
      <c r="S21" s="277">
        <f t="shared" si="2"/>
      </c>
      <c r="T21" s="277">
        <f t="shared" si="3"/>
      </c>
      <c r="U21" s="277">
        <f t="shared" si="4"/>
      </c>
      <c r="V21" s="277">
        <f t="shared" si="5"/>
      </c>
      <c r="W21" s="277">
        <f t="shared" si="6"/>
      </c>
      <c r="X21" s="277">
        <f t="shared" si="7"/>
      </c>
      <c r="Y21" s="277">
        <f t="shared" si="8"/>
      </c>
      <c r="Z21" s="277">
        <f t="shared" si="9"/>
      </c>
      <c r="AA21" s="277" t="e">
        <f>#REF!</f>
        <v>#REF!</v>
      </c>
      <c r="AB21" s="277" t="e">
        <f>#REF!</f>
        <v>#REF!</v>
      </c>
      <c r="AC21" s="277" t="e">
        <f>#REF!</f>
        <v>#REF!</v>
      </c>
      <c r="AD21" s="277">
        <f t="shared" si="10"/>
        <v>0</v>
      </c>
      <c r="AE21" s="277">
        <f t="shared" si="11"/>
        <v>0</v>
      </c>
      <c r="AF21" s="277">
        <f t="shared" si="12"/>
        <v>0</v>
      </c>
    </row>
    <row r="22" spans="1:32" s="203" customFormat="1" ht="12.75" customHeight="1" thickBot="1">
      <c r="A22" s="734"/>
      <c r="B22" s="278">
        <v>19</v>
      </c>
      <c r="C22" s="164">
        <f>IF('Spielereinsatzliste A1'!B24="","",'Spielereinsatzliste A1'!B24)</f>
      </c>
      <c r="D22" s="165">
        <f>IF('Spielereinsatzliste A1'!C24="","",'Spielereinsatzliste A1'!C24)</f>
      </c>
      <c r="E22" s="166">
        <f>IF('Spielereinsatzliste A1'!D24="","",'Spielereinsatzliste A1'!D24)</f>
      </c>
      <c r="F22" s="164">
        <f>IF('Spielereinsatzliste A2'!B24="","",'Spielereinsatzliste A2'!B24)</f>
      </c>
      <c r="G22" s="165">
        <f>IF('Spielereinsatzliste A2'!C24="","",'Spielereinsatzliste A2'!C24)</f>
      </c>
      <c r="H22" s="166">
        <f>IF('Spielereinsatzliste A2'!D24="","",'Spielereinsatzliste A2'!D24)</f>
      </c>
      <c r="I22" s="164">
        <f>IF('Spielereinsatzliste A3'!B24="","",'Spielereinsatzliste A3'!B24)</f>
      </c>
      <c r="J22" s="165">
        <f>IF('Spielereinsatzliste A3'!C24="","",'Spielereinsatzliste A3'!C24)</f>
      </c>
      <c r="K22" s="166">
        <f>IF('Spielereinsatzliste A3'!D24="","",'Spielereinsatzliste A3'!D24)</f>
      </c>
      <c r="L22" s="164">
        <f>IF('Spielereinsatzliste A4'!B24="","",'Spielereinsatzliste A4'!B24)</f>
      </c>
      <c r="M22" s="165">
        <f>IF('Spielereinsatzliste A4'!C24="","",'Spielereinsatzliste A4'!C24)</f>
      </c>
      <c r="N22" s="166">
        <f>IF('Spielereinsatzliste A4'!D24="","",'Spielereinsatzliste A4'!D24)</f>
      </c>
      <c r="O22"/>
      <c r="P22"/>
      <c r="Q22"/>
      <c r="R22" s="277">
        <f t="shared" si="1"/>
      </c>
      <c r="S22" s="277">
        <f t="shared" si="2"/>
      </c>
      <c r="T22" s="277">
        <f t="shared" si="3"/>
      </c>
      <c r="U22" s="277">
        <f t="shared" si="4"/>
      </c>
      <c r="V22" s="277">
        <f t="shared" si="5"/>
      </c>
      <c r="W22" s="277">
        <f t="shared" si="6"/>
      </c>
      <c r="X22" s="277">
        <f t="shared" si="7"/>
      </c>
      <c r="Y22" s="277">
        <f t="shared" si="8"/>
      </c>
      <c r="Z22" s="277">
        <f t="shared" si="9"/>
      </c>
      <c r="AA22" s="277" t="e">
        <f>#REF!</f>
        <v>#REF!</v>
      </c>
      <c r="AB22" s="277" t="e">
        <f>#REF!</f>
        <v>#REF!</v>
      </c>
      <c r="AC22" s="277" t="e">
        <f>#REF!</f>
        <v>#REF!</v>
      </c>
      <c r="AD22" s="277">
        <f t="shared" si="10"/>
        <v>0</v>
      </c>
      <c r="AE22" s="277">
        <f t="shared" si="11"/>
        <v>0</v>
      </c>
      <c r="AF22" s="277">
        <f t="shared" si="12"/>
        <v>0</v>
      </c>
    </row>
    <row r="23" spans="1:32" s="203" customFormat="1" ht="12.75" customHeight="1">
      <c r="A23" s="173" t="s">
        <v>39</v>
      </c>
      <c r="B23" s="276">
        <v>20</v>
      </c>
      <c r="C23" s="167"/>
      <c r="D23" s="168"/>
      <c r="E23" s="160">
        <f>IF('Spielereinsatzliste A1'!D25="","",'Spielereinsatzliste A1'!D25)</f>
      </c>
      <c r="F23" s="167"/>
      <c r="G23" s="168"/>
      <c r="H23" s="160" t="str">
        <f>IF('Spielereinsatzliste A2'!D25="","",'Spielereinsatzliste A2'!D25)</f>
        <v>Maack, Burghardt</v>
      </c>
      <c r="I23" s="167"/>
      <c r="J23" s="168"/>
      <c r="K23" s="160" t="str">
        <f>IF('Spielereinsatzliste A3'!D25="","",'Spielereinsatzliste A3'!D25)</f>
        <v>Krüger, Simone</v>
      </c>
      <c r="L23" s="167"/>
      <c r="M23" s="168"/>
      <c r="N23" s="160" t="str">
        <f>IF('Spielereinsatzliste A4'!D25="","",'Spielereinsatzliste A4'!D25)</f>
        <v>Richter, Jens</v>
      </c>
      <c r="O23"/>
      <c r="P23"/>
      <c r="Q23"/>
      <c r="R23" s="277">
        <f t="shared" si="1"/>
        <v>0</v>
      </c>
      <c r="S23" s="277">
        <f t="shared" si="2"/>
        <v>0</v>
      </c>
      <c r="T23" s="277" t="str">
        <f t="shared" si="3"/>
        <v>Himmelhan, Marcus</v>
      </c>
      <c r="U23" s="277">
        <f t="shared" si="4"/>
        <v>0</v>
      </c>
      <c r="V23" s="277">
        <f t="shared" si="5"/>
        <v>0</v>
      </c>
      <c r="W23" s="277">
        <f t="shared" si="6"/>
      </c>
      <c r="X23" s="277">
        <f t="shared" si="7"/>
        <v>0</v>
      </c>
      <c r="Y23" s="277">
        <f t="shared" si="8"/>
        <v>0</v>
      </c>
      <c r="Z23" s="277">
        <f t="shared" si="9"/>
      </c>
      <c r="AA23" s="277" t="e">
        <f>#REF!</f>
        <v>#REF!</v>
      </c>
      <c r="AB23" s="277" t="e">
        <f>#REF!</f>
        <v>#REF!</v>
      </c>
      <c r="AC23" s="277" t="e">
        <f>#REF!</f>
        <v>#REF!</v>
      </c>
      <c r="AD23" s="277">
        <f t="shared" si="10"/>
        <v>0</v>
      </c>
      <c r="AE23" s="277">
        <f t="shared" si="11"/>
        <v>0</v>
      </c>
      <c r="AF23" s="277">
        <f t="shared" si="12"/>
        <v>0</v>
      </c>
    </row>
    <row r="24" spans="1:32" s="203" customFormat="1" ht="12.75" customHeight="1" thickBot="1">
      <c r="A24" s="174" t="s">
        <v>40</v>
      </c>
      <c r="B24" s="280">
        <v>21</v>
      </c>
      <c r="C24" s="169"/>
      <c r="D24" s="170"/>
      <c r="E24" s="171">
        <f>IF('Spielereinsatzliste A1'!D26="","",'Spielereinsatzliste A1'!D26)</f>
      </c>
      <c r="F24" s="169"/>
      <c r="G24" s="170"/>
      <c r="H24" s="171">
        <f>IF('Spielereinsatzliste A2'!D26="","",'Spielereinsatzliste A2'!D26)</f>
      </c>
      <c r="I24" s="169"/>
      <c r="J24" s="170"/>
      <c r="K24" s="171" t="str">
        <f>IF('Spielereinsatzliste A3'!D26="","",'Spielereinsatzliste A3'!D26)</f>
        <v>Peppernick, Kerstin</v>
      </c>
      <c r="L24" s="169"/>
      <c r="M24" s="170"/>
      <c r="N24" s="171" t="str">
        <f>IF('Spielereinsatzliste A4'!D26="","",'Spielereinsatzliste A4'!D26)</f>
        <v>Wilksen, Peter</v>
      </c>
      <c r="O24"/>
      <c r="P24"/>
      <c r="Q24"/>
      <c r="R24" s="277">
        <f t="shared" si="1"/>
        <v>0</v>
      </c>
      <c r="S24" s="277">
        <f t="shared" si="2"/>
        <v>0</v>
      </c>
      <c r="T24" s="277" t="str">
        <f t="shared" si="3"/>
        <v>Reimers, Bernd</v>
      </c>
      <c r="U24" s="277">
        <f t="shared" si="4"/>
        <v>0</v>
      </c>
      <c r="V24" s="277">
        <f t="shared" si="5"/>
        <v>0</v>
      </c>
      <c r="W24" s="277">
        <f t="shared" si="6"/>
      </c>
      <c r="X24" s="277">
        <f t="shared" si="7"/>
        <v>0</v>
      </c>
      <c r="Y24" s="277">
        <f t="shared" si="8"/>
        <v>0</v>
      </c>
      <c r="Z24" s="277">
        <f t="shared" si="9"/>
      </c>
      <c r="AA24" s="277" t="e">
        <f>#REF!</f>
        <v>#REF!</v>
      </c>
      <c r="AB24" s="277" t="e">
        <f>#REF!</f>
        <v>#REF!</v>
      </c>
      <c r="AC24" s="277" t="e">
        <f>#REF!</f>
        <v>#REF!</v>
      </c>
      <c r="AD24" s="277">
        <f t="shared" si="10"/>
        <v>0</v>
      </c>
      <c r="AE24" s="277">
        <f t="shared" si="11"/>
        <v>0</v>
      </c>
      <c r="AF24" s="277">
        <f t="shared" si="12"/>
        <v>0</v>
      </c>
    </row>
    <row r="25" spans="1:32" s="264" customFormat="1" ht="3" customHeight="1" thickTop="1">
      <c r="A25" s="281"/>
      <c r="B25" s="282"/>
      <c r="C25" s="251"/>
      <c r="D25" s="251"/>
      <c r="E25" s="283"/>
      <c r="F25" s="251"/>
      <c r="G25" s="251"/>
      <c r="H25" s="283"/>
      <c r="I25" s="251"/>
      <c r="J25" s="251"/>
      <c r="K25" s="283"/>
      <c r="L25" s="251"/>
      <c r="M25" s="251"/>
      <c r="N25" s="283"/>
      <c r="O25" s="251"/>
      <c r="P25" s="251"/>
      <c r="Q25" s="283"/>
      <c r="R25" s="267"/>
      <c r="S25" s="267"/>
      <c r="T25" s="277"/>
      <c r="U25" s="284"/>
      <c r="V25" s="284"/>
      <c r="W25" s="277"/>
      <c r="X25" s="284"/>
      <c r="Y25" s="284"/>
      <c r="Z25" s="277"/>
      <c r="AA25" s="284"/>
      <c r="AB25" s="284"/>
      <c r="AC25" s="277"/>
      <c r="AD25" s="284"/>
      <c r="AE25" s="284"/>
      <c r="AF25" s="277"/>
    </row>
    <row r="26" spans="1:32" s="258" customFormat="1" ht="18" customHeight="1" hidden="1">
      <c r="A26" s="285"/>
      <c r="B26" s="285">
        <v>22</v>
      </c>
      <c r="C26" s="267">
        <f>F13</f>
      </c>
      <c r="D26" s="267">
        <f>G13</f>
      </c>
      <c r="E26" s="267" t="str">
        <f>H13</f>
        <v>Maack, Eike</v>
      </c>
      <c r="F26" s="251"/>
      <c r="G26" s="251"/>
      <c r="H26" s="267"/>
      <c r="I26" s="251"/>
      <c r="J26" s="251"/>
      <c r="K26" s="267"/>
      <c r="L26" s="251"/>
      <c r="M26" s="251"/>
      <c r="N26" s="267"/>
      <c r="O26" s="251"/>
      <c r="P26" s="251"/>
      <c r="Q26" s="267"/>
      <c r="R26" s="267"/>
      <c r="S26" s="267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</row>
    <row r="27" spans="1:32" s="258" customFormat="1" ht="18" customHeight="1" hidden="1">
      <c r="A27" s="285"/>
      <c r="B27" s="285">
        <v>23</v>
      </c>
      <c r="C27" s="267">
        <f aca="true" t="shared" si="13" ref="C27:C37">F14</f>
      </c>
      <c r="D27" s="267">
        <f aca="true" t="shared" si="14" ref="D27:D37">G14</f>
      </c>
      <c r="E27" s="267" t="str">
        <f aca="true" t="shared" si="15" ref="E27:E37">H14</f>
        <v>von Seelen, Felix</v>
      </c>
      <c r="F27" s="251"/>
      <c r="G27" s="251"/>
      <c r="H27" s="267"/>
      <c r="I27" s="251"/>
      <c r="J27" s="251"/>
      <c r="K27" s="267"/>
      <c r="L27" s="251"/>
      <c r="M27" s="251"/>
      <c r="N27" s="267"/>
      <c r="O27" s="251"/>
      <c r="P27" s="251"/>
      <c r="Q27" s="267"/>
      <c r="R27" s="267"/>
      <c r="S27" s="267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</row>
    <row r="28" spans="1:32" s="258" customFormat="1" ht="18" customHeight="1" hidden="1">
      <c r="A28" s="285"/>
      <c r="B28" s="285">
        <v>24</v>
      </c>
      <c r="C28" s="267">
        <f t="shared" si="13"/>
      </c>
      <c r="D28" s="267">
        <f t="shared" si="14"/>
      </c>
      <c r="E28" s="267" t="str">
        <f t="shared" si="15"/>
        <v>Lingelbach, Christian</v>
      </c>
      <c r="F28" s="251"/>
      <c r="G28" s="251"/>
      <c r="H28" s="267"/>
      <c r="I28" s="251"/>
      <c r="J28" s="251"/>
      <c r="K28" s="267"/>
      <c r="L28" s="251"/>
      <c r="M28" s="251"/>
      <c r="N28" s="267"/>
      <c r="O28" s="251"/>
      <c r="P28" s="251"/>
      <c r="Q28" s="267"/>
      <c r="R28" s="267"/>
      <c r="S28" s="267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</row>
    <row r="29" spans="1:32" s="258" customFormat="1" ht="18" customHeight="1" hidden="1">
      <c r="A29" s="285"/>
      <c r="B29" s="285">
        <v>25</v>
      </c>
      <c r="C29" s="267">
        <f t="shared" si="13"/>
      </c>
      <c r="D29" s="267">
        <f t="shared" si="14"/>
      </c>
      <c r="E29" s="267" t="str">
        <f t="shared" si="15"/>
        <v>Schuldt, Ole</v>
      </c>
      <c r="F29" s="251"/>
      <c r="G29" s="251"/>
      <c r="H29" s="267"/>
      <c r="I29" s="251"/>
      <c r="J29" s="251"/>
      <c r="K29" s="267"/>
      <c r="L29" s="251"/>
      <c r="M29" s="251"/>
      <c r="N29" s="267"/>
      <c r="O29" s="251"/>
      <c r="P29" s="251"/>
      <c r="Q29" s="267"/>
      <c r="R29" s="267"/>
      <c r="S29" s="267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</row>
    <row r="30" spans="1:32" s="258" customFormat="1" ht="18" customHeight="1" hidden="1">
      <c r="A30" s="285"/>
      <c r="B30" s="285">
        <v>26</v>
      </c>
      <c r="C30" s="267">
        <f t="shared" si="13"/>
      </c>
      <c r="D30" s="267">
        <f t="shared" si="14"/>
      </c>
      <c r="E30" s="267" t="str">
        <f t="shared" si="15"/>
        <v>Omar, Laichaoui</v>
      </c>
      <c r="F30" s="251"/>
      <c r="G30" s="251"/>
      <c r="H30" s="267"/>
      <c r="I30" s="251"/>
      <c r="J30" s="251"/>
      <c r="K30" s="267"/>
      <c r="L30" s="251"/>
      <c r="M30" s="251"/>
      <c r="N30" s="267"/>
      <c r="O30" s="251"/>
      <c r="P30" s="251"/>
      <c r="Q30" s="267"/>
      <c r="R30" s="267"/>
      <c r="S30" s="267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</row>
    <row r="31" spans="1:32" s="258" customFormat="1" ht="18" customHeight="1" hidden="1">
      <c r="A31" s="285"/>
      <c r="B31" s="285">
        <v>27</v>
      </c>
      <c r="C31" s="267">
        <f t="shared" si="13"/>
      </c>
      <c r="D31" s="267">
        <f t="shared" si="14"/>
      </c>
      <c r="E31" s="267" t="str">
        <f t="shared" si="15"/>
        <v>Maack, Henrik</v>
      </c>
      <c r="F31" s="251"/>
      <c r="G31" s="251"/>
      <c r="H31" s="267"/>
      <c r="I31" s="251"/>
      <c r="J31" s="251"/>
      <c r="K31" s="267"/>
      <c r="L31" s="251"/>
      <c r="M31" s="251"/>
      <c r="N31" s="267"/>
      <c r="O31" s="251"/>
      <c r="P31" s="251"/>
      <c r="Q31" s="267"/>
      <c r="R31" s="267"/>
      <c r="S31" s="267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</row>
    <row r="32" spans="1:32" s="258" customFormat="1" ht="18" customHeight="1" hidden="1">
      <c r="A32" s="285"/>
      <c r="B32" s="285">
        <v>28</v>
      </c>
      <c r="C32" s="267">
        <f t="shared" si="13"/>
      </c>
      <c r="D32" s="267">
        <f t="shared" si="14"/>
      </c>
      <c r="E32" s="267" t="str">
        <f t="shared" si="15"/>
        <v>Ventz, Tino</v>
      </c>
      <c r="F32" s="251"/>
      <c r="G32" s="251"/>
      <c r="H32" s="267"/>
      <c r="I32" s="251"/>
      <c r="J32" s="251"/>
      <c r="K32" s="267"/>
      <c r="L32" s="251"/>
      <c r="M32" s="251"/>
      <c r="N32" s="267"/>
      <c r="O32" s="251"/>
      <c r="P32" s="251"/>
      <c r="Q32" s="267"/>
      <c r="R32" s="267"/>
      <c r="S32" s="267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</row>
    <row r="33" spans="1:32" s="258" customFormat="1" ht="18" customHeight="1" hidden="1">
      <c r="A33" s="285"/>
      <c r="B33" s="285">
        <v>29</v>
      </c>
      <c r="C33" s="267">
        <f t="shared" si="13"/>
      </c>
      <c r="D33" s="267">
        <f t="shared" si="14"/>
      </c>
      <c r="E33" s="267">
        <f t="shared" si="15"/>
      </c>
      <c r="F33" s="251"/>
      <c r="G33" s="251"/>
      <c r="H33" s="267"/>
      <c r="I33" s="251"/>
      <c r="J33" s="251"/>
      <c r="K33" s="267"/>
      <c r="L33" s="251"/>
      <c r="M33" s="251"/>
      <c r="N33" s="267"/>
      <c r="O33" s="251"/>
      <c r="P33" s="251"/>
      <c r="Q33" s="267"/>
      <c r="R33" s="267"/>
      <c r="S33" s="267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</row>
    <row r="34" spans="1:32" s="258" customFormat="1" ht="18" customHeight="1" hidden="1">
      <c r="A34" s="285"/>
      <c r="B34" s="285">
        <v>30</v>
      </c>
      <c r="C34" s="267">
        <f t="shared" si="13"/>
      </c>
      <c r="D34" s="267">
        <f t="shared" si="14"/>
      </c>
      <c r="E34" s="267">
        <f t="shared" si="15"/>
      </c>
      <c r="F34" s="251"/>
      <c r="G34" s="251"/>
      <c r="H34" s="267"/>
      <c r="I34" s="251"/>
      <c r="J34" s="251"/>
      <c r="K34" s="267"/>
      <c r="L34" s="251"/>
      <c r="M34" s="251"/>
      <c r="N34" s="267"/>
      <c r="O34" s="251"/>
      <c r="P34" s="251"/>
      <c r="Q34" s="267"/>
      <c r="R34" s="267"/>
      <c r="S34" s="267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</row>
    <row r="35" spans="1:32" s="258" customFormat="1" ht="18" customHeight="1" hidden="1">
      <c r="A35" s="285"/>
      <c r="B35" s="285">
        <v>31</v>
      </c>
      <c r="C35" s="267">
        <f t="shared" si="13"/>
      </c>
      <c r="D35" s="267">
        <f t="shared" si="14"/>
      </c>
      <c r="E35" s="267">
        <f t="shared" si="15"/>
      </c>
      <c r="F35" s="251"/>
      <c r="G35" s="251"/>
      <c r="H35" s="267"/>
      <c r="I35" s="251"/>
      <c r="J35" s="251"/>
      <c r="K35" s="267"/>
      <c r="L35" s="251"/>
      <c r="M35" s="251"/>
      <c r="N35" s="267"/>
      <c r="O35" s="251"/>
      <c r="P35" s="251"/>
      <c r="Q35" s="267"/>
      <c r="R35" s="267"/>
      <c r="S35" s="267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</row>
    <row r="36" spans="1:32" s="258" customFormat="1" ht="18" customHeight="1" hidden="1">
      <c r="A36" s="285"/>
      <c r="B36" s="285">
        <v>32</v>
      </c>
      <c r="C36" s="267">
        <f t="shared" si="13"/>
        <v>0</v>
      </c>
      <c r="D36" s="267">
        <f t="shared" si="14"/>
        <v>0</v>
      </c>
      <c r="E36" s="267" t="str">
        <f t="shared" si="15"/>
        <v>Maack, Burghardt</v>
      </c>
      <c r="F36" s="251"/>
      <c r="G36" s="251"/>
      <c r="H36" s="267"/>
      <c r="I36" s="251"/>
      <c r="J36" s="251"/>
      <c r="K36" s="267"/>
      <c r="L36" s="251"/>
      <c r="M36" s="251"/>
      <c r="N36" s="267"/>
      <c r="O36" s="251"/>
      <c r="P36" s="251"/>
      <c r="Q36" s="267"/>
      <c r="R36" s="267"/>
      <c r="S36" s="267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</row>
    <row r="37" spans="1:32" s="258" customFormat="1" ht="18" customHeight="1" hidden="1">
      <c r="A37" s="285"/>
      <c r="B37" s="285">
        <v>33</v>
      </c>
      <c r="C37" s="267">
        <f t="shared" si="13"/>
        <v>0</v>
      </c>
      <c r="D37" s="267">
        <f t="shared" si="14"/>
        <v>0</v>
      </c>
      <c r="E37" s="267">
        <f t="shared" si="15"/>
      </c>
      <c r="F37" s="251"/>
      <c r="G37" s="251"/>
      <c r="H37" s="267"/>
      <c r="I37" s="251"/>
      <c r="J37" s="251"/>
      <c r="K37" s="267"/>
      <c r="L37" s="251"/>
      <c r="M37" s="251"/>
      <c r="N37" s="267"/>
      <c r="O37" s="251"/>
      <c r="P37" s="251"/>
      <c r="Q37" s="267"/>
      <c r="R37" s="267"/>
      <c r="S37" s="267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</row>
    <row r="38" spans="1:32" s="258" customFormat="1" ht="18" customHeight="1" hidden="1">
      <c r="A38" s="285"/>
      <c r="B38" s="285"/>
      <c r="C38" s="267"/>
      <c r="D38" s="267"/>
      <c r="E38" s="267"/>
      <c r="F38" s="251"/>
      <c r="G38" s="251"/>
      <c r="H38" s="267"/>
      <c r="I38" s="251"/>
      <c r="J38" s="251"/>
      <c r="K38" s="267"/>
      <c r="L38" s="251"/>
      <c r="M38" s="251"/>
      <c r="N38" s="267"/>
      <c r="O38" s="251"/>
      <c r="P38" s="251"/>
      <c r="Q38" s="267"/>
      <c r="R38" s="267"/>
      <c r="S38" s="267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</row>
    <row r="39" spans="1:32" s="258" customFormat="1" ht="18" customHeight="1" hidden="1">
      <c r="A39" s="285"/>
      <c r="B39" s="285">
        <v>34</v>
      </c>
      <c r="C39" s="267">
        <f>I13</f>
      </c>
      <c r="D39" s="267">
        <f>J13</f>
      </c>
      <c r="E39" s="267" t="str">
        <f>K13</f>
        <v>Tschitschke, Maik</v>
      </c>
      <c r="F39" s="251"/>
      <c r="G39" s="251"/>
      <c r="H39" s="267"/>
      <c r="I39" s="251"/>
      <c r="J39" s="251"/>
      <c r="K39" s="267"/>
      <c r="L39" s="251"/>
      <c r="M39" s="251"/>
      <c r="N39" s="267"/>
      <c r="O39" s="251"/>
      <c r="P39" s="251"/>
      <c r="Q39" s="267"/>
      <c r="R39" s="267"/>
      <c r="S39" s="267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</row>
    <row r="40" spans="1:32" s="258" customFormat="1" ht="18" customHeight="1" hidden="1">
      <c r="A40" s="285"/>
      <c r="B40" s="285">
        <v>35</v>
      </c>
      <c r="C40" s="267">
        <f aca="true" t="shared" si="16" ref="C40:C50">I14</f>
      </c>
      <c r="D40" s="267">
        <f aca="true" t="shared" si="17" ref="D40:D50">J14</f>
      </c>
      <c r="E40" s="267" t="str">
        <f aca="true" t="shared" si="18" ref="E40:E50">K14</f>
        <v>Richter, Willi</v>
      </c>
      <c r="F40" s="251"/>
      <c r="G40" s="251"/>
      <c r="H40" s="267"/>
      <c r="I40" s="251"/>
      <c r="J40" s="251"/>
      <c r="K40" s="267"/>
      <c r="L40" s="251"/>
      <c r="M40" s="251"/>
      <c r="N40" s="267"/>
      <c r="O40" s="251"/>
      <c r="P40" s="251"/>
      <c r="Q40" s="267"/>
      <c r="R40" s="267"/>
      <c r="S40" s="267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</row>
    <row r="41" spans="1:32" s="258" customFormat="1" ht="18" customHeight="1" hidden="1">
      <c r="A41" s="285"/>
      <c r="B41" s="285">
        <v>36</v>
      </c>
      <c r="C41" s="267">
        <f t="shared" si="16"/>
      </c>
      <c r="D41" s="267">
        <f t="shared" si="17"/>
      </c>
      <c r="E41" s="267" t="str">
        <f t="shared" si="18"/>
        <v>Pfänder, Lukas</v>
      </c>
      <c r="F41" s="251"/>
      <c r="G41" s="251"/>
      <c r="H41" s="267"/>
      <c r="I41" s="251"/>
      <c r="J41" s="251"/>
      <c r="K41" s="267"/>
      <c r="L41" s="251"/>
      <c r="M41" s="251"/>
      <c r="N41" s="267"/>
      <c r="O41" s="251"/>
      <c r="P41" s="251"/>
      <c r="Q41" s="267"/>
      <c r="R41" s="267"/>
      <c r="S41" s="267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</row>
    <row r="42" spans="1:32" s="258" customFormat="1" ht="18" customHeight="1" hidden="1">
      <c r="A42" s="285"/>
      <c r="B42" s="285">
        <v>37</v>
      </c>
      <c r="C42" s="267">
        <f t="shared" si="16"/>
      </c>
      <c r="D42" s="267">
        <f t="shared" si="17"/>
      </c>
      <c r="E42" s="267" t="str">
        <f t="shared" si="18"/>
        <v>Peppernick, Paul</v>
      </c>
      <c r="F42" s="251"/>
      <c r="G42" s="251"/>
      <c r="H42" s="267"/>
      <c r="I42" s="251"/>
      <c r="J42" s="251"/>
      <c r="K42" s="267"/>
      <c r="L42" s="251"/>
      <c r="M42" s="251"/>
      <c r="N42" s="267"/>
      <c r="O42" s="251"/>
      <c r="P42" s="251"/>
      <c r="Q42" s="267"/>
      <c r="R42" s="267"/>
      <c r="S42" s="267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</row>
    <row r="43" spans="1:32" s="258" customFormat="1" ht="18" customHeight="1" hidden="1">
      <c r="A43" s="285"/>
      <c r="B43" s="285">
        <v>38</v>
      </c>
      <c r="C43" s="267">
        <f t="shared" si="16"/>
      </c>
      <c r="D43" s="267">
        <f t="shared" si="17"/>
      </c>
      <c r="E43" s="267" t="str">
        <f t="shared" si="18"/>
        <v>Böttcher, Johann-Georg</v>
      </c>
      <c r="F43" s="251"/>
      <c r="G43" s="251"/>
      <c r="H43" s="267"/>
      <c r="I43" s="251"/>
      <c r="J43" s="251"/>
      <c r="K43" s="267"/>
      <c r="L43" s="251"/>
      <c r="M43" s="251"/>
      <c r="N43" s="267"/>
      <c r="O43" s="251"/>
      <c r="P43" s="251"/>
      <c r="Q43" s="267"/>
      <c r="R43" s="267"/>
      <c r="S43" s="267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</row>
    <row r="44" spans="1:32" s="258" customFormat="1" ht="18" customHeight="1" hidden="1">
      <c r="A44" s="285"/>
      <c r="B44" s="285">
        <v>39</v>
      </c>
      <c r="C44" s="267">
        <f t="shared" si="16"/>
      </c>
      <c r="D44" s="267">
        <f t="shared" si="17"/>
      </c>
      <c r="E44" s="267" t="str">
        <f t="shared" si="18"/>
        <v>Müller, Simon</v>
      </c>
      <c r="F44" s="251"/>
      <c r="G44" s="251"/>
      <c r="H44" s="267"/>
      <c r="I44" s="251"/>
      <c r="J44" s="251"/>
      <c r="K44" s="267"/>
      <c r="L44" s="251"/>
      <c r="M44" s="251"/>
      <c r="N44" s="267"/>
      <c r="O44" s="251"/>
      <c r="P44" s="251"/>
      <c r="Q44" s="267"/>
      <c r="R44" s="267"/>
      <c r="S44" s="267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</row>
    <row r="45" spans="1:32" s="258" customFormat="1" ht="18" customHeight="1" hidden="1">
      <c r="A45" s="285"/>
      <c r="B45" s="285">
        <v>40</v>
      </c>
      <c r="C45" s="267">
        <f t="shared" si="16"/>
      </c>
      <c r="D45" s="267">
        <f t="shared" si="17"/>
      </c>
      <c r="E45" s="267" t="str">
        <f t="shared" si="18"/>
        <v>Mielke, Marc</v>
      </c>
      <c r="F45" s="251"/>
      <c r="G45" s="251"/>
      <c r="H45" s="267"/>
      <c r="I45" s="251"/>
      <c r="J45" s="251"/>
      <c r="K45" s="267"/>
      <c r="L45" s="251"/>
      <c r="M45" s="251"/>
      <c r="N45" s="267"/>
      <c r="O45" s="251"/>
      <c r="P45" s="251"/>
      <c r="Q45" s="267"/>
      <c r="R45" s="267"/>
      <c r="S45" s="267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</row>
    <row r="46" spans="1:32" s="258" customFormat="1" ht="18" customHeight="1" hidden="1">
      <c r="A46" s="285"/>
      <c r="B46" s="285">
        <v>41</v>
      </c>
      <c r="C46" s="267">
        <f t="shared" si="16"/>
      </c>
      <c r="D46" s="267">
        <f t="shared" si="17"/>
      </c>
      <c r="E46" s="267">
        <f t="shared" si="18"/>
      </c>
      <c r="F46" s="251"/>
      <c r="G46" s="251"/>
      <c r="H46" s="267"/>
      <c r="I46" s="251"/>
      <c r="J46" s="251"/>
      <c r="K46" s="267"/>
      <c r="L46" s="251"/>
      <c r="M46" s="251"/>
      <c r="N46" s="267"/>
      <c r="O46" s="251"/>
      <c r="P46" s="251"/>
      <c r="Q46" s="267"/>
      <c r="R46" s="267"/>
      <c r="S46" s="267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</row>
    <row r="47" spans="1:32" s="258" customFormat="1" ht="18" customHeight="1" hidden="1">
      <c r="A47" s="285"/>
      <c r="B47" s="285">
        <v>42</v>
      </c>
      <c r="C47" s="267">
        <f t="shared" si="16"/>
      </c>
      <c r="D47" s="267">
        <f t="shared" si="17"/>
      </c>
      <c r="E47" s="267">
        <f t="shared" si="18"/>
      </c>
      <c r="F47" s="251"/>
      <c r="G47" s="251"/>
      <c r="H47" s="267"/>
      <c r="I47" s="251"/>
      <c r="J47" s="251"/>
      <c r="K47" s="267"/>
      <c r="L47" s="251"/>
      <c r="M47" s="251"/>
      <c r="N47" s="267"/>
      <c r="O47" s="251"/>
      <c r="P47" s="251"/>
      <c r="Q47" s="267"/>
      <c r="R47" s="267"/>
      <c r="S47" s="267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</row>
    <row r="48" spans="1:32" s="258" customFormat="1" ht="18" customHeight="1" hidden="1">
      <c r="A48" s="285"/>
      <c r="B48" s="285">
        <v>43</v>
      </c>
      <c r="C48" s="267">
        <f t="shared" si="16"/>
      </c>
      <c r="D48" s="267">
        <f t="shared" si="17"/>
      </c>
      <c r="E48" s="267">
        <f t="shared" si="18"/>
      </c>
      <c r="F48" s="251"/>
      <c r="G48" s="251"/>
      <c r="H48" s="267"/>
      <c r="I48" s="251"/>
      <c r="J48" s="251"/>
      <c r="K48" s="267"/>
      <c r="L48" s="251"/>
      <c r="M48" s="251"/>
      <c r="N48" s="267"/>
      <c r="O48" s="251"/>
      <c r="P48" s="251"/>
      <c r="Q48" s="267"/>
      <c r="R48" s="267"/>
      <c r="S48" s="267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</row>
    <row r="49" spans="1:32" s="258" customFormat="1" ht="18" customHeight="1" hidden="1">
      <c r="A49" s="285"/>
      <c r="B49" s="285">
        <v>44</v>
      </c>
      <c r="C49" s="267">
        <f t="shared" si="16"/>
        <v>0</v>
      </c>
      <c r="D49" s="267">
        <f t="shared" si="17"/>
        <v>0</v>
      </c>
      <c r="E49" s="267" t="str">
        <f t="shared" si="18"/>
        <v>Krüger, Simone</v>
      </c>
      <c r="F49" s="251"/>
      <c r="G49" s="251"/>
      <c r="H49" s="267"/>
      <c r="I49" s="251"/>
      <c r="J49" s="251"/>
      <c r="K49" s="267"/>
      <c r="L49" s="251"/>
      <c r="M49" s="251"/>
      <c r="N49" s="267"/>
      <c r="O49" s="251"/>
      <c r="P49" s="251"/>
      <c r="Q49" s="267"/>
      <c r="R49" s="267"/>
      <c r="S49" s="267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</row>
    <row r="50" spans="1:32" s="258" customFormat="1" ht="18" customHeight="1" hidden="1">
      <c r="A50" s="285"/>
      <c r="B50" s="285">
        <v>45</v>
      </c>
      <c r="C50" s="267">
        <f t="shared" si="16"/>
        <v>0</v>
      </c>
      <c r="D50" s="267">
        <f t="shared" si="17"/>
        <v>0</v>
      </c>
      <c r="E50" s="267" t="str">
        <f t="shared" si="18"/>
        <v>Peppernick, Kerstin</v>
      </c>
      <c r="F50" s="251"/>
      <c r="G50" s="251"/>
      <c r="H50" s="267"/>
      <c r="I50" s="251"/>
      <c r="J50" s="251"/>
      <c r="K50" s="267"/>
      <c r="L50" s="251"/>
      <c r="M50" s="251"/>
      <c r="N50" s="267"/>
      <c r="O50" s="251"/>
      <c r="P50" s="251"/>
      <c r="Q50" s="267"/>
      <c r="R50" s="267"/>
      <c r="S50" s="267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</row>
    <row r="51" spans="1:32" s="258" customFormat="1" ht="18" customHeight="1" hidden="1">
      <c r="A51" s="285"/>
      <c r="B51" s="285"/>
      <c r="C51" s="267"/>
      <c r="D51" s="267"/>
      <c r="E51" s="267"/>
      <c r="F51" s="251"/>
      <c r="G51" s="251"/>
      <c r="H51" s="267"/>
      <c r="I51" s="251"/>
      <c r="J51" s="251"/>
      <c r="K51" s="267"/>
      <c r="L51" s="251"/>
      <c r="M51" s="251"/>
      <c r="N51" s="267"/>
      <c r="O51" s="251"/>
      <c r="P51" s="251"/>
      <c r="Q51" s="267"/>
      <c r="R51" s="267"/>
      <c r="S51" s="267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</row>
    <row r="52" spans="1:32" s="258" customFormat="1" ht="18" customHeight="1" hidden="1">
      <c r="A52" s="285"/>
      <c r="B52" s="285">
        <v>46</v>
      </c>
      <c r="C52" s="267">
        <f>L13</f>
      </c>
      <c r="D52" s="267">
        <f>M13</f>
      </c>
      <c r="E52" s="267" t="str">
        <f>N13</f>
        <v>Schlegel, Hendrik</v>
      </c>
      <c r="F52" s="251"/>
      <c r="G52" s="251"/>
      <c r="H52" s="267"/>
      <c r="I52" s="251"/>
      <c r="J52" s="251"/>
      <c r="K52" s="267"/>
      <c r="L52" s="251"/>
      <c r="M52" s="251"/>
      <c r="N52" s="267"/>
      <c r="O52" s="251"/>
      <c r="P52" s="251"/>
      <c r="Q52" s="267"/>
      <c r="R52" s="267"/>
      <c r="S52" s="267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</row>
    <row r="53" spans="1:32" s="258" customFormat="1" ht="18" customHeight="1" hidden="1">
      <c r="A53" s="285"/>
      <c r="B53" s="285">
        <v>47</v>
      </c>
      <c r="C53" s="267">
        <f aca="true" t="shared" si="19" ref="C53:C63">L14</f>
      </c>
      <c r="D53" s="267">
        <f aca="true" t="shared" si="20" ref="D53:D63">M14</f>
      </c>
      <c r="E53" s="267" t="str">
        <f aca="true" t="shared" si="21" ref="E53:E63">N14</f>
        <v>Linus, Richter</v>
      </c>
      <c r="F53" s="251"/>
      <c r="G53" s="251"/>
      <c r="H53" s="267"/>
      <c r="I53" s="251"/>
      <c r="J53" s="251"/>
      <c r="K53" s="267"/>
      <c r="L53" s="251"/>
      <c r="M53" s="251"/>
      <c r="N53" s="267"/>
      <c r="O53" s="251"/>
      <c r="P53" s="251"/>
      <c r="Q53" s="267"/>
      <c r="R53" s="267"/>
      <c r="S53" s="267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</row>
    <row r="54" spans="1:32" s="258" customFormat="1" ht="18" customHeight="1" hidden="1">
      <c r="A54" s="285"/>
      <c r="B54" s="285">
        <v>48</v>
      </c>
      <c r="C54" s="267">
        <f t="shared" si="19"/>
      </c>
      <c r="D54" s="267">
        <f t="shared" si="20"/>
      </c>
      <c r="E54" s="267" t="str">
        <f t="shared" si="21"/>
        <v>Aßmann, Tim</v>
      </c>
      <c r="F54" s="251"/>
      <c r="G54" s="251"/>
      <c r="H54" s="267"/>
      <c r="I54" s="251"/>
      <c r="J54" s="251"/>
      <c r="K54" s="267"/>
      <c r="L54" s="251"/>
      <c r="M54" s="251"/>
      <c r="N54" s="267"/>
      <c r="O54" s="251"/>
      <c r="P54" s="251"/>
      <c r="Q54" s="267"/>
      <c r="R54" s="267"/>
      <c r="S54" s="267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</row>
    <row r="55" spans="1:32" s="258" customFormat="1" ht="18" customHeight="1" hidden="1">
      <c r="A55" s="285"/>
      <c r="B55" s="285">
        <v>49</v>
      </c>
      <c r="C55" s="267">
        <f t="shared" si="19"/>
      </c>
      <c r="D55" s="267">
        <f t="shared" si="20"/>
      </c>
      <c r="E55" s="267" t="str">
        <f t="shared" si="21"/>
        <v>Wilksen, Lean</v>
      </c>
      <c r="F55" s="251"/>
      <c r="G55" s="251"/>
      <c r="H55" s="267"/>
      <c r="I55" s="251"/>
      <c r="J55" s="251"/>
      <c r="K55" s="267"/>
      <c r="L55" s="251"/>
      <c r="M55" s="251"/>
      <c r="N55" s="267"/>
      <c r="O55" s="251"/>
      <c r="P55" s="251"/>
      <c r="Q55" s="267"/>
      <c r="R55" s="267"/>
      <c r="S55" s="267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</row>
    <row r="56" spans="1:32" s="258" customFormat="1" ht="18" customHeight="1" hidden="1">
      <c r="A56" s="285"/>
      <c r="B56" s="285">
        <v>50</v>
      </c>
      <c r="C56" s="267">
        <f t="shared" si="19"/>
      </c>
      <c r="D56" s="267">
        <f t="shared" si="20"/>
      </c>
      <c r="E56" s="267" t="str">
        <f t="shared" si="21"/>
        <v>Wilksen, Tobias</v>
      </c>
      <c r="F56" s="251"/>
      <c r="G56" s="251"/>
      <c r="H56" s="267"/>
      <c r="I56" s="251"/>
      <c r="J56" s="251"/>
      <c r="K56" s="267"/>
      <c r="L56" s="251"/>
      <c r="M56" s="251"/>
      <c r="N56" s="267"/>
      <c r="O56" s="251"/>
      <c r="P56" s="251"/>
      <c r="Q56" s="267"/>
      <c r="R56" s="267"/>
      <c r="S56" s="267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</row>
    <row r="57" spans="1:32" s="258" customFormat="1" ht="18" customHeight="1" hidden="1">
      <c r="A57" s="285"/>
      <c r="B57" s="285">
        <v>51</v>
      </c>
      <c r="C57" s="267">
        <f t="shared" si="19"/>
      </c>
      <c r="D57" s="267">
        <f t="shared" si="20"/>
      </c>
      <c r="E57" s="267" t="str">
        <f t="shared" si="21"/>
        <v>Kahle, Enrico</v>
      </c>
      <c r="F57" s="251"/>
      <c r="G57" s="251"/>
      <c r="H57" s="267"/>
      <c r="I57" s="251"/>
      <c r="J57" s="251"/>
      <c r="K57" s="267"/>
      <c r="L57" s="251"/>
      <c r="M57" s="251"/>
      <c r="N57" s="267"/>
      <c r="O57" s="251"/>
      <c r="P57" s="251"/>
      <c r="Q57" s="267"/>
      <c r="R57" s="267"/>
      <c r="S57" s="267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</row>
    <row r="58" spans="1:32" s="258" customFormat="1" ht="18" customHeight="1" hidden="1">
      <c r="A58" s="285"/>
      <c r="B58" s="285">
        <v>52</v>
      </c>
      <c r="C58" s="267">
        <f t="shared" si="19"/>
      </c>
      <c r="D58" s="267">
        <f t="shared" si="20"/>
      </c>
      <c r="E58" s="267">
        <f t="shared" si="21"/>
      </c>
      <c r="F58" s="251"/>
      <c r="G58" s="251"/>
      <c r="H58" s="267"/>
      <c r="I58" s="251"/>
      <c r="J58" s="251"/>
      <c r="K58" s="267"/>
      <c r="L58" s="251"/>
      <c r="M58" s="251"/>
      <c r="N58" s="267"/>
      <c r="O58" s="251"/>
      <c r="P58" s="251"/>
      <c r="Q58" s="267"/>
      <c r="R58" s="267"/>
      <c r="S58" s="267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</row>
    <row r="59" spans="1:32" s="258" customFormat="1" ht="18" customHeight="1" hidden="1">
      <c r="A59" s="285"/>
      <c r="B59" s="285">
        <v>53</v>
      </c>
      <c r="C59" s="267">
        <f t="shared" si="19"/>
      </c>
      <c r="D59" s="267">
        <f t="shared" si="20"/>
      </c>
      <c r="E59" s="267">
        <f t="shared" si="21"/>
      </c>
      <c r="F59" s="251"/>
      <c r="G59" s="251"/>
      <c r="H59" s="267"/>
      <c r="I59" s="251"/>
      <c r="J59" s="251"/>
      <c r="K59" s="267"/>
      <c r="L59" s="251"/>
      <c r="M59" s="251"/>
      <c r="N59" s="267"/>
      <c r="O59" s="251"/>
      <c r="P59" s="251"/>
      <c r="Q59" s="267"/>
      <c r="R59" s="267"/>
      <c r="S59" s="267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</row>
    <row r="60" spans="1:32" s="258" customFormat="1" ht="18" customHeight="1" hidden="1">
      <c r="A60" s="285"/>
      <c r="B60" s="285">
        <v>54</v>
      </c>
      <c r="C60" s="267">
        <f t="shared" si="19"/>
      </c>
      <c r="D60" s="267">
        <f t="shared" si="20"/>
      </c>
      <c r="E60" s="267">
        <f t="shared" si="21"/>
      </c>
      <c r="F60" s="251"/>
      <c r="G60" s="251"/>
      <c r="H60" s="267"/>
      <c r="I60" s="251"/>
      <c r="J60" s="251"/>
      <c r="K60" s="267"/>
      <c r="L60" s="251"/>
      <c r="M60" s="251"/>
      <c r="N60" s="267"/>
      <c r="O60" s="251"/>
      <c r="P60" s="251"/>
      <c r="Q60" s="267"/>
      <c r="R60" s="267"/>
      <c r="S60" s="267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</row>
    <row r="61" spans="1:32" s="258" customFormat="1" ht="18" customHeight="1" hidden="1">
      <c r="A61" s="285"/>
      <c r="B61" s="285">
        <v>55</v>
      </c>
      <c r="C61" s="267">
        <f t="shared" si="19"/>
      </c>
      <c r="D61" s="267">
        <f t="shared" si="20"/>
      </c>
      <c r="E61" s="267">
        <f t="shared" si="21"/>
      </c>
      <c r="F61" s="251"/>
      <c r="G61" s="251"/>
      <c r="H61" s="267"/>
      <c r="I61" s="251"/>
      <c r="J61" s="251"/>
      <c r="K61" s="267"/>
      <c r="L61" s="251"/>
      <c r="M61" s="251"/>
      <c r="N61" s="267"/>
      <c r="O61" s="251"/>
      <c r="P61" s="251"/>
      <c r="Q61" s="267"/>
      <c r="R61" s="267"/>
      <c r="S61" s="267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</row>
    <row r="62" spans="1:32" s="258" customFormat="1" ht="18" customHeight="1" hidden="1">
      <c r="A62" s="285"/>
      <c r="B62" s="285">
        <v>56</v>
      </c>
      <c r="C62" s="267">
        <f t="shared" si="19"/>
        <v>0</v>
      </c>
      <c r="D62" s="267">
        <f t="shared" si="20"/>
        <v>0</v>
      </c>
      <c r="E62" s="267" t="str">
        <f t="shared" si="21"/>
        <v>Richter, Jens</v>
      </c>
      <c r="F62" s="251"/>
      <c r="G62" s="251"/>
      <c r="H62" s="267"/>
      <c r="I62" s="251"/>
      <c r="J62" s="251"/>
      <c r="K62" s="267"/>
      <c r="L62" s="251"/>
      <c r="M62" s="251"/>
      <c r="N62" s="267"/>
      <c r="O62" s="251"/>
      <c r="P62" s="251"/>
      <c r="Q62" s="267"/>
      <c r="R62" s="267"/>
      <c r="S62" s="267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</row>
    <row r="63" spans="1:32" s="258" customFormat="1" ht="18" customHeight="1" hidden="1">
      <c r="A63" s="285"/>
      <c r="B63" s="285">
        <v>57</v>
      </c>
      <c r="C63" s="267">
        <f t="shared" si="19"/>
        <v>0</v>
      </c>
      <c r="D63" s="267">
        <f t="shared" si="20"/>
        <v>0</v>
      </c>
      <c r="E63" s="267" t="str">
        <f t="shared" si="21"/>
        <v>Wilksen, Peter</v>
      </c>
      <c r="F63" s="251"/>
      <c r="G63" s="251"/>
      <c r="H63" s="267"/>
      <c r="I63" s="251"/>
      <c r="J63" s="251"/>
      <c r="K63" s="267"/>
      <c r="L63" s="251"/>
      <c r="M63" s="251"/>
      <c r="N63" s="267"/>
      <c r="O63" s="251"/>
      <c r="P63" s="251"/>
      <c r="Q63" s="267"/>
      <c r="R63" s="267"/>
      <c r="S63" s="267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</row>
    <row r="64" spans="1:32" s="258" customFormat="1" ht="18" customHeight="1" hidden="1">
      <c r="A64" s="285"/>
      <c r="B64" s="285"/>
      <c r="C64" s="267"/>
      <c r="D64" s="267"/>
      <c r="E64" s="267"/>
      <c r="F64" s="251"/>
      <c r="G64" s="251"/>
      <c r="H64" s="267"/>
      <c r="I64" s="251"/>
      <c r="J64" s="251"/>
      <c r="K64" s="267"/>
      <c r="L64" s="251"/>
      <c r="M64" s="251"/>
      <c r="N64" s="267"/>
      <c r="O64" s="251"/>
      <c r="P64" s="251"/>
      <c r="Q64" s="267"/>
      <c r="R64" s="267"/>
      <c r="S64" s="267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</row>
    <row r="65" spans="1:32" s="258" customFormat="1" ht="18" customHeight="1" hidden="1">
      <c r="A65" s="285"/>
      <c r="B65" s="285">
        <v>58</v>
      </c>
      <c r="C65" s="267">
        <f>O13</f>
        <v>0</v>
      </c>
      <c r="D65" s="267">
        <f>P13</f>
        <v>0</v>
      </c>
      <c r="E65" s="267">
        <f>Q13</f>
        <v>0</v>
      </c>
      <c r="F65" s="251"/>
      <c r="G65" s="251"/>
      <c r="H65" s="267"/>
      <c r="I65" s="251"/>
      <c r="J65" s="251"/>
      <c r="K65" s="267"/>
      <c r="L65" s="251"/>
      <c r="M65" s="251"/>
      <c r="N65" s="267"/>
      <c r="O65" s="251"/>
      <c r="P65" s="251"/>
      <c r="Q65" s="267"/>
      <c r="R65" s="267"/>
      <c r="S65" s="267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</row>
    <row r="66" spans="1:32" s="258" customFormat="1" ht="18" customHeight="1" hidden="1">
      <c r="A66" s="285"/>
      <c r="B66" s="285">
        <v>59</v>
      </c>
      <c r="C66" s="267">
        <f aca="true" t="shared" si="22" ref="C66:C76">O14</f>
        <v>0</v>
      </c>
      <c r="D66" s="267">
        <f aca="true" t="shared" si="23" ref="D66:D76">P14</f>
        <v>0</v>
      </c>
      <c r="E66" s="267">
        <f aca="true" t="shared" si="24" ref="E66:E76">Q14</f>
        <v>0</v>
      </c>
      <c r="F66" s="251"/>
      <c r="G66" s="251"/>
      <c r="H66" s="267"/>
      <c r="I66" s="251"/>
      <c r="J66" s="251"/>
      <c r="K66" s="267"/>
      <c r="L66" s="251"/>
      <c r="M66" s="251"/>
      <c r="N66" s="267"/>
      <c r="O66" s="251"/>
      <c r="P66" s="251"/>
      <c r="Q66" s="267"/>
      <c r="R66" s="267"/>
      <c r="S66" s="267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</row>
    <row r="67" spans="1:32" s="258" customFormat="1" ht="18" customHeight="1" hidden="1">
      <c r="A67" s="285"/>
      <c r="B67" s="285">
        <v>60</v>
      </c>
      <c r="C67" s="267">
        <f t="shared" si="22"/>
        <v>0</v>
      </c>
      <c r="D67" s="267">
        <f t="shared" si="23"/>
        <v>0</v>
      </c>
      <c r="E67" s="267">
        <f t="shared" si="24"/>
        <v>0</v>
      </c>
      <c r="F67" s="251"/>
      <c r="G67" s="251"/>
      <c r="H67" s="267"/>
      <c r="I67" s="251"/>
      <c r="J67" s="251"/>
      <c r="K67" s="267"/>
      <c r="L67" s="251"/>
      <c r="M67" s="251"/>
      <c r="N67" s="267"/>
      <c r="O67" s="251"/>
      <c r="P67" s="251"/>
      <c r="Q67" s="267"/>
      <c r="R67" s="267"/>
      <c r="S67" s="267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</row>
    <row r="68" spans="1:32" s="258" customFormat="1" ht="18" customHeight="1" hidden="1">
      <c r="A68" s="285"/>
      <c r="B68" s="285">
        <v>61</v>
      </c>
      <c r="C68" s="267">
        <f t="shared" si="22"/>
        <v>0</v>
      </c>
      <c r="D68" s="267">
        <f t="shared" si="23"/>
        <v>0</v>
      </c>
      <c r="E68" s="267">
        <f t="shared" si="24"/>
        <v>0</v>
      </c>
      <c r="F68" s="251"/>
      <c r="G68" s="251"/>
      <c r="H68" s="267"/>
      <c r="I68" s="251"/>
      <c r="J68" s="251"/>
      <c r="K68" s="267"/>
      <c r="L68" s="251"/>
      <c r="M68" s="251"/>
      <c r="N68" s="267"/>
      <c r="O68" s="251"/>
      <c r="P68" s="251"/>
      <c r="Q68" s="267"/>
      <c r="R68" s="267"/>
      <c r="S68" s="267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</row>
    <row r="69" spans="1:32" s="258" customFormat="1" ht="18" customHeight="1" hidden="1">
      <c r="A69" s="285"/>
      <c r="B69" s="285">
        <v>62</v>
      </c>
      <c r="C69" s="267">
        <f t="shared" si="22"/>
        <v>0</v>
      </c>
      <c r="D69" s="267">
        <f t="shared" si="23"/>
        <v>0</v>
      </c>
      <c r="E69" s="267">
        <f t="shared" si="24"/>
        <v>0</v>
      </c>
      <c r="F69" s="251"/>
      <c r="G69" s="251"/>
      <c r="H69" s="267"/>
      <c r="I69" s="251"/>
      <c r="J69" s="251"/>
      <c r="K69" s="267"/>
      <c r="L69" s="251"/>
      <c r="M69" s="251"/>
      <c r="N69" s="267"/>
      <c r="O69" s="251"/>
      <c r="P69" s="251"/>
      <c r="Q69" s="267"/>
      <c r="R69" s="267"/>
      <c r="S69" s="267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</row>
    <row r="70" spans="1:32" s="258" customFormat="1" ht="18" customHeight="1" hidden="1">
      <c r="A70" s="285"/>
      <c r="B70" s="285">
        <v>63</v>
      </c>
      <c r="C70" s="267">
        <f t="shared" si="22"/>
        <v>0</v>
      </c>
      <c r="D70" s="267">
        <f t="shared" si="23"/>
        <v>0</v>
      </c>
      <c r="E70" s="267">
        <f t="shared" si="24"/>
        <v>0</v>
      </c>
      <c r="F70" s="251"/>
      <c r="G70" s="251"/>
      <c r="H70" s="267"/>
      <c r="I70" s="251"/>
      <c r="J70" s="251"/>
      <c r="K70" s="267"/>
      <c r="L70" s="251"/>
      <c r="M70" s="251"/>
      <c r="N70" s="267"/>
      <c r="O70" s="251"/>
      <c r="P70" s="251"/>
      <c r="Q70" s="267"/>
      <c r="R70" s="267"/>
      <c r="S70" s="267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</row>
    <row r="71" spans="1:32" s="258" customFormat="1" ht="18" customHeight="1" hidden="1">
      <c r="A71" s="285"/>
      <c r="B71" s="285">
        <v>64</v>
      </c>
      <c r="C71" s="267">
        <f t="shared" si="22"/>
        <v>0</v>
      </c>
      <c r="D71" s="267">
        <f t="shared" si="23"/>
        <v>0</v>
      </c>
      <c r="E71" s="267">
        <f t="shared" si="24"/>
        <v>0</v>
      </c>
      <c r="F71" s="251"/>
      <c r="G71" s="251"/>
      <c r="H71" s="267"/>
      <c r="I71" s="251"/>
      <c r="J71" s="251"/>
      <c r="K71" s="267"/>
      <c r="L71" s="251"/>
      <c r="M71" s="251"/>
      <c r="N71" s="267"/>
      <c r="O71" s="251"/>
      <c r="P71" s="251"/>
      <c r="Q71" s="267"/>
      <c r="R71" s="267"/>
      <c r="S71" s="267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</row>
    <row r="72" spans="1:32" s="258" customFormat="1" ht="18" customHeight="1" hidden="1">
      <c r="A72" s="285"/>
      <c r="B72" s="285">
        <v>65</v>
      </c>
      <c r="C72" s="267">
        <f t="shared" si="22"/>
        <v>0</v>
      </c>
      <c r="D72" s="267">
        <f t="shared" si="23"/>
        <v>0</v>
      </c>
      <c r="E72" s="267">
        <f t="shared" si="24"/>
        <v>0</v>
      </c>
      <c r="F72" s="251"/>
      <c r="G72" s="251"/>
      <c r="H72" s="267"/>
      <c r="I72" s="251"/>
      <c r="J72" s="251"/>
      <c r="K72" s="267"/>
      <c r="L72" s="251"/>
      <c r="M72" s="251"/>
      <c r="N72" s="267"/>
      <c r="O72" s="251"/>
      <c r="P72" s="251"/>
      <c r="Q72" s="267"/>
      <c r="R72" s="267"/>
      <c r="S72" s="267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</row>
    <row r="73" spans="1:32" s="258" customFormat="1" ht="18" customHeight="1" hidden="1">
      <c r="A73" s="285"/>
      <c r="B73" s="285">
        <v>66</v>
      </c>
      <c r="C73" s="267">
        <f t="shared" si="22"/>
        <v>0</v>
      </c>
      <c r="D73" s="267">
        <f t="shared" si="23"/>
        <v>0</v>
      </c>
      <c r="E73" s="267">
        <f t="shared" si="24"/>
        <v>0</v>
      </c>
      <c r="F73" s="251"/>
      <c r="G73" s="251"/>
      <c r="H73" s="267"/>
      <c r="I73" s="251"/>
      <c r="J73" s="251"/>
      <c r="K73" s="267"/>
      <c r="L73" s="251"/>
      <c r="M73" s="251"/>
      <c r="N73" s="267"/>
      <c r="O73" s="251"/>
      <c r="P73" s="251"/>
      <c r="Q73" s="267"/>
      <c r="R73" s="267"/>
      <c r="S73" s="267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</row>
    <row r="74" spans="1:32" s="258" customFormat="1" ht="18" customHeight="1" hidden="1">
      <c r="A74" s="285"/>
      <c r="B74" s="285">
        <v>67</v>
      </c>
      <c r="C74" s="267">
        <f t="shared" si="22"/>
        <v>0</v>
      </c>
      <c r="D74" s="267">
        <f t="shared" si="23"/>
        <v>0</v>
      </c>
      <c r="E74" s="267">
        <f t="shared" si="24"/>
        <v>0</v>
      </c>
      <c r="F74" s="251"/>
      <c r="G74" s="251"/>
      <c r="H74" s="267"/>
      <c r="I74" s="251"/>
      <c r="J74" s="251"/>
      <c r="K74" s="267"/>
      <c r="L74" s="251"/>
      <c r="M74" s="251"/>
      <c r="N74" s="267"/>
      <c r="O74" s="251"/>
      <c r="P74" s="251"/>
      <c r="Q74" s="267"/>
      <c r="R74" s="267"/>
      <c r="S74" s="267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</row>
    <row r="75" spans="1:32" s="258" customFormat="1" ht="18" customHeight="1" hidden="1">
      <c r="A75" s="285"/>
      <c r="B75" s="285">
        <v>68</v>
      </c>
      <c r="C75" s="267">
        <f t="shared" si="22"/>
        <v>0</v>
      </c>
      <c r="D75" s="267">
        <f t="shared" si="23"/>
        <v>0</v>
      </c>
      <c r="E75" s="267">
        <f t="shared" si="24"/>
        <v>0</v>
      </c>
      <c r="F75" s="251"/>
      <c r="G75" s="251"/>
      <c r="H75" s="267"/>
      <c r="I75" s="251"/>
      <c r="J75" s="251"/>
      <c r="K75" s="267"/>
      <c r="L75" s="251"/>
      <c r="M75" s="251"/>
      <c r="N75" s="267"/>
      <c r="O75" s="251"/>
      <c r="P75" s="251"/>
      <c r="Q75" s="267"/>
      <c r="R75" s="267"/>
      <c r="S75" s="267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</row>
    <row r="76" spans="1:32" s="258" customFormat="1" ht="18" customHeight="1" hidden="1">
      <c r="A76" s="285"/>
      <c r="B76" s="285">
        <v>69</v>
      </c>
      <c r="C76" s="267">
        <f t="shared" si="22"/>
        <v>0</v>
      </c>
      <c r="D76" s="267">
        <f t="shared" si="23"/>
        <v>0</v>
      </c>
      <c r="E76" s="267">
        <f t="shared" si="24"/>
        <v>0</v>
      </c>
      <c r="F76" s="251"/>
      <c r="G76" s="251"/>
      <c r="H76" s="267"/>
      <c r="I76" s="251"/>
      <c r="J76" s="251"/>
      <c r="K76" s="267"/>
      <c r="L76" s="251"/>
      <c r="M76" s="251"/>
      <c r="N76" s="267"/>
      <c r="O76" s="251"/>
      <c r="P76" s="251"/>
      <c r="Q76" s="267"/>
      <c r="R76" s="267"/>
      <c r="S76" s="267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</row>
    <row r="77" spans="1:32" s="258" customFormat="1" ht="18" customHeight="1" hidden="1">
      <c r="A77" s="285"/>
      <c r="B77" s="285"/>
      <c r="C77" s="267"/>
      <c r="D77" s="267"/>
      <c r="E77" s="267"/>
      <c r="F77" s="251"/>
      <c r="G77" s="251"/>
      <c r="H77" s="267"/>
      <c r="I77" s="251"/>
      <c r="J77" s="251"/>
      <c r="K77" s="267"/>
      <c r="L77" s="251"/>
      <c r="M77" s="251"/>
      <c r="N77" s="267"/>
      <c r="O77" s="251"/>
      <c r="P77" s="251"/>
      <c r="Q77" s="267"/>
      <c r="R77" s="267"/>
      <c r="S77" s="267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</row>
    <row r="78" spans="1:32" s="258" customFormat="1" ht="18" customHeight="1" hidden="1">
      <c r="A78" s="285"/>
      <c r="B78" s="285">
        <v>70</v>
      </c>
      <c r="C78" s="267">
        <f aca="true" t="shared" si="25" ref="C78:E89">C147</f>
      </c>
      <c r="D78" s="267">
        <f t="shared" si="25"/>
      </c>
      <c r="E78" s="267" t="str">
        <f t="shared" si="25"/>
        <v>Butzke, Kjell</v>
      </c>
      <c r="F78" s="251"/>
      <c r="G78" s="251"/>
      <c r="H78" s="267"/>
      <c r="I78" s="251"/>
      <c r="J78" s="251"/>
      <c r="K78" s="267"/>
      <c r="L78" s="251"/>
      <c r="M78" s="251"/>
      <c r="N78" s="267"/>
      <c r="O78" s="251"/>
      <c r="P78" s="251"/>
      <c r="Q78" s="267"/>
      <c r="R78" s="267"/>
      <c r="S78" s="267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</row>
    <row r="79" spans="1:32" s="258" customFormat="1" ht="18" customHeight="1" hidden="1">
      <c r="A79" s="285"/>
      <c r="B79" s="285">
        <v>71</v>
      </c>
      <c r="C79" s="267">
        <f t="shared" si="25"/>
      </c>
      <c r="D79" s="267">
        <f t="shared" si="25"/>
      </c>
      <c r="E79" s="267" t="str">
        <f t="shared" si="25"/>
        <v>Stumpenhagen, Robin</v>
      </c>
      <c r="F79" s="251"/>
      <c r="G79" s="251"/>
      <c r="H79" s="267"/>
      <c r="I79" s="251"/>
      <c r="J79" s="251"/>
      <c r="K79" s="267"/>
      <c r="L79" s="251"/>
      <c r="M79" s="251"/>
      <c r="N79" s="267"/>
      <c r="O79" s="251"/>
      <c r="P79" s="251"/>
      <c r="Q79" s="267"/>
      <c r="R79" s="267"/>
      <c r="S79" s="267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</row>
    <row r="80" spans="1:32" s="258" customFormat="1" ht="18" customHeight="1" hidden="1">
      <c r="A80" s="285"/>
      <c r="B80" s="285">
        <v>72</v>
      </c>
      <c r="C80" s="267">
        <f t="shared" si="25"/>
      </c>
      <c r="D80" s="267">
        <f t="shared" si="25"/>
      </c>
      <c r="E80" s="267" t="str">
        <f t="shared" si="25"/>
        <v>Gabriel, René</v>
      </c>
      <c r="F80" s="251"/>
      <c r="G80" s="251"/>
      <c r="H80" s="267"/>
      <c r="I80" s="251"/>
      <c r="J80" s="251"/>
      <c r="K80" s="267"/>
      <c r="L80" s="251"/>
      <c r="M80" s="251"/>
      <c r="N80" s="267"/>
      <c r="O80" s="251"/>
      <c r="P80" s="251"/>
      <c r="Q80" s="267"/>
      <c r="R80" s="267"/>
      <c r="S80" s="267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</row>
    <row r="81" spans="1:32" s="258" customFormat="1" ht="18" customHeight="1" hidden="1">
      <c r="A81" s="285"/>
      <c r="B81" s="285">
        <v>73</v>
      </c>
      <c r="C81" s="267">
        <f t="shared" si="25"/>
      </c>
      <c r="D81" s="267">
        <f t="shared" si="25"/>
      </c>
      <c r="E81" s="267" t="str">
        <f t="shared" si="25"/>
        <v>Himmelhan, Hannes</v>
      </c>
      <c r="F81" s="251"/>
      <c r="G81" s="251"/>
      <c r="H81" s="267"/>
      <c r="I81" s="251"/>
      <c r="J81" s="251"/>
      <c r="K81" s="267"/>
      <c r="L81" s="251"/>
      <c r="M81" s="251"/>
      <c r="N81" s="267"/>
      <c r="O81" s="251"/>
      <c r="P81" s="251"/>
      <c r="Q81" s="267"/>
      <c r="R81" s="267"/>
      <c r="S81" s="267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</row>
    <row r="82" spans="1:32" s="258" customFormat="1" ht="18" customHeight="1" hidden="1">
      <c r="A82" s="285"/>
      <c r="B82" s="285">
        <v>74</v>
      </c>
      <c r="C82" s="267">
        <f t="shared" si="25"/>
      </c>
      <c r="D82" s="267">
        <f t="shared" si="25"/>
      </c>
      <c r="E82" s="267" t="str">
        <f t="shared" si="25"/>
        <v>Hullmann, Till</v>
      </c>
      <c r="F82" s="251"/>
      <c r="G82" s="251"/>
      <c r="H82" s="267"/>
      <c r="I82" s="251"/>
      <c r="J82" s="251"/>
      <c r="K82" s="267"/>
      <c r="L82" s="251"/>
      <c r="M82" s="251"/>
      <c r="N82" s="267"/>
      <c r="O82" s="251"/>
      <c r="P82" s="251"/>
      <c r="Q82" s="267"/>
      <c r="R82" s="267"/>
      <c r="S82" s="267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</row>
    <row r="83" spans="1:32" s="258" customFormat="1" ht="18" customHeight="1" hidden="1">
      <c r="A83" s="285"/>
      <c r="B83" s="285">
        <v>75</v>
      </c>
      <c r="C83" s="267">
        <f t="shared" si="25"/>
      </c>
      <c r="D83" s="267">
        <f t="shared" si="25"/>
      </c>
      <c r="E83" s="267" t="str">
        <f t="shared" si="25"/>
        <v>Steinleitner, Marvin</v>
      </c>
      <c r="F83" s="251"/>
      <c r="G83" s="251"/>
      <c r="H83" s="267"/>
      <c r="I83" s="251"/>
      <c r="J83" s="251"/>
      <c r="K83" s="267"/>
      <c r="L83" s="251"/>
      <c r="M83" s="251"/>
      <c r="N83" s="267"/>
      <c r="O83" s="251"/>
      <c r="P83" s="251"/>
      <c r="Q83" s="267"/>
      <c r="R83" s="267"/>
      <c r="S83" s="267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</row>
    <row r="84" spans="1:32" s="258" customFormat="1" ht="18" customHeight="1" hidden="1">
      <c r="A84" s="285"/>
      <c r="B84" s="285">
        <v>76</v>
      </c>
      <c r="C84" s="267">
        <f t="shared" si="25"/>
      </c>
      <c r="D84" s="267">
        <f t="shared" si="25"/>
      </c>
      <c r="E84" s="267" t="str">
        <f t="shared" si="25"/>
        <v>Dombert, Enrico</v>
      </c>
      <c r="F84" s="251"/>
      <c r="G84" s="251"/>
      <c r="H84" s="267"/>
      <c r="I84" s="251"/>
      <c r="J84" s="251"/>
      <c r="K84" s="267"/>
      <c r="L84" s="251"/>
      <c r="M84" s="251"/>
      <c r="N84" s="267"/>
      <c r="O84" s="251"/>
      <c r="P84" s="251"/>
      <c r="Q84" s="267"/>
      <c r="R84" s="267"/>
      <c r="S84" s="267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</row>
    <row r="85" spans="1:32" s="258" customFormat="1" ht="18" customHeight="1" hidden="1">
      <c r="A85" s="285"/>
      <c r="B85" s="285">
        <v>77</v>
      </c>
      <c r="C85" s="267">
        <f t="shared" si="25"/>
      </c>
      <c r="D85" s="267">
        <f t="shared" si="25"/>
      </c>
      <c r="E85" s="267">
        <f t="shared" si="25"/>
      </c>
      <c r="F85" s="251"/>
      <c r="G85" s="251"/>
      <c r="H85" s="267"/>
      <c r="I85" s="251"/>
      <c r="J85" s="251"/>
      <c r="K85" s="267"/>
      <c r="L85" s="251"/>
      <c r="M85" s="251"/>
      <c r="N85" s="267"/>
      <c r="O85" s="251"/>
      <c r="P85" s="251"/>
      <c r="Q85" s="267"/>
      <c r="R85" s="267"/>
      <c r="S85" s="267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</row>
    <row r="86" spans="1:32" s="258" customFormat="1" ht="18" customHeight="1" hidden="1">
      <c r="A86" s="285"/>
      <c r="B86" s="285">
        <v>78</v>
      </c>
      <c r="C86" s="267">
        <f t="shared" si="25"/>
      </c>
      <c r="D86" s="267">
        <f t="shared" si="25"/>
      </c>
      <c r="E86" s="267">
        <f t="shared" si="25"/>
      </c>
      <c r="F86" s="251"/>
      <c r="G86" s="251"/>
      <c r="H86" s="267"/>
      <c r="I86" s="251"/>
      <c r="J86" s="251"/>
      <c r="K86" s="267"/>
      <c r="L86" s="251"/>
      <c r="M86" s="251"/>
      <c r="N86" s="267"/>
      <c r="O86" s="251"/>
      <c r="P86" s="251"/>
      <c r="Q86" s="267"/>
      <c r="R86" s="267"/>
      <c r="S86" s="267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</row>
    <row r="87" spans="1:32" s="258" customFormat="1" ht="18" customHeight="1" hidden="1">
      <c r="A87" s="285"/>
      <c r="B87" s="285">
        <v>79</v>
      </c>
      <c r="C87" s="267">
        <f t="shared" si="25"/>
      </c>
      <c r="D87" s="267">
        <f t="shared" si="25"/>
      </c>
      <c r="E87" s="267">
        <f t="shared" si="25"/>
      </c>
      <c r="F87" s="251"/>
      <c r="G87" s="251"/>
      <c r="H87" s="267"/>
      <c r="I87" s="251"/>
      <c r="J87" s="251"/>
      <c r="K87" s="267"/>
      <c r="L87" s="251"/>
      <c r="M87" s="251"/>
      <c r="N87" s="267"/>
      <c r="O87" s="251"/>
      <c r="P87" s="251"/>
      <c r="Q87" s="267"/>
      <c r="R87" s="267"/>
      <c r="S87" s="267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</row>
    <row r="88" spans="1:32" s="258" customFormat="1" ht="18" customHeight="1" hidden="1">
      <c r="A88" s="285"/>
      <c r="B88" s="285">
        <v>80</v>
      </c>
      <c r="C88" s="267">
        <f t="shared" si="25"/>
        <v>0</v>
      </c>
      <c r="D88" s="267">
        <f t="shared" si="25"/>
        <v>0</v>
      </c>
      <c r="E88" s="267" t="str">
        <f t="shared" si="25"/>
        <v>Himmelhan, Marcus</v>
      </c>
      <c r="F88" s="251"/>
      <c r="G88" s="251"/>
      <c r="H88" s="267"/>
      <c r="I88" s="251"/>
      <c r="J88" s="251"/>
      <c r="K88" s="267"/>
      <c r="L88" s="251"/>
      <c r="M88" s="251"/>
      <c r="N88" s="267"/>
      <c r="O88" s="251"/>
      <c r="P88" s="251"/>
      <c r="Q88" s="267"/>
      <c r="R88" s="267"/>
      <c r="S88" s="267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</row>
    <row r="89" spans="1:32" s="258" customFormat="1" ht="18" customHeight="1" hidden="1">
      <c r="A89" s="285"/>
      <c r="B89" s="285">
        <v>81</v>
      </c>
      <c r="C89" s="267">
        <f t="shared" si="25"/>
        <v>0</v>
      </c>
      <c r="D89" s="267">
        <f t="shared" si="25"/>
        <v>0</v>
      </c>
      <c r="E89" s="267" t="str">
        <f t="shared" si="25"/>
        <v>Reimers, Bernd</v>
      </c>
      <c r="F89" s="251"/>
      <c r="G89" s="251"/>
      <c r="H89" s="267"/>
      <c r="I89" s="251"/>
      <c r="J89" s="251"/>
      <c r="K89" s="267"/>
      <c r="L89" s="251"/>
      <c r="M89" s="251"/>
      <c r="N89" s="267"/>
      <c r="O89" s="251"/>
      <c r="P89" s="251"/>
      <c r="Q89" s="267"/>
      <c r="R89" s="267"/>
      <c r="S89" s="267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</row>
    <row r="90" spans="1:32" s="258" customFormat="1" ht="18" customHeight="1" hidden="1">
      <c r="A90" s="285"/>
      <c r="B90" s="285"/>
      <c r="C90" s="267"/>
      <c r="D90" s="267"/>
      <c r="E90" s="267"/>
      <c r="F90" s="251"/>
      <c r="G90" s="251"/>
      <c r="H90" s="267"/>
      <c r="I90" s="251"/>
      <c r="J90" s="251"/>
      <c r="K90" s="267"/>
      <c r="L90" s="251"/>
      <c r="M90" s="251"/>
      <c r="N90" s="267"/>
      <c r="O90" s="251"/>
      <c r="P90" s="251"/>
      <c r="Q90" s="267"/>
      <c r="R90" s="267"/>
      <c r="S90" s="267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</row>
    <row r="91" spans="1:32" s="258" customFormat="1" ht="18" customHeight="1" hidden="1">
      <c r="A91" s="285"/>
      <c r="B91" s="285">
        <v>82</v>
      </c>
      <c r="C91" s="267">
        <f>F147</f>
      </c>
      <c r="D91" s="267">
        <f>G147</f>
      </c>
      <c r="E91" s="267" t="str">
        <f>H147</f>
        <v>Mohns, Derian</v>
      </c>
      <c r="F91" s="251"/>
      <c r="G91" s="251"/>
      <c r="H91" s="267"/>
      <c r="I91" s="251"/>
      <c r="J91" s="251"/>
      <c r="K91" s="267"/>
      <c r="L91" s="251"/>
      <c r="M91" s="251"/>
      <c r="N91" s="267"/>
      <c r="O91" s="251"/>
      <c r="P91" s="251"/>
      <c r="Q91" s="267"/>
      <c r="R91" s="267"/>
      <c r="S91" s="267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</row>
    <row r="92" spans="1:32" s="258" customFormat="1" ht="18" customHeight="1" hidden="1">
      <c r="A92" s="285"/>
      <c r="B92" s="285">
        <v>83</v>
      </c>
      <c r="C92" s="267">
        <f aca="true" t="shared" si="26" ref="C92:C102">F148</f>
      </c>
      <c r="D92" s="267">
        <f aca="true" t="shared" si="27" ref="D92:D102">G148</f>
      </c>
      <c r="E92" s="267" t="str">
        <f aca="true" t="shared" si="28" ref="E92:E102">H148</f>
        <v>Schulz, Till</v>
      </c>
      <c r="F92" s="251"/>
      <c r="G92" s="251"/>
      <c r="H92" s="267"/>
      <c r="I92" s="251"/>
      <c r="J92" s="251"/>
      <c r="K92" s="267"/>
      <c r="L92" s="251"/>
      <c r="M92" s="251"/>
      <c r="N92" s="267"/>
      <c r="O92" s="251"/>
      <c r="P92" s="251"/>
      <c r="Q92" s="267"/>
      <c r="R92" s="267"/>
      <c r="S92" s="267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</row>
    <row r="93" spans="1:32" s="258" customFormat="1" ht="18" customHeight="1" hidden="1">
      <c r="A93" s="285"/>
      <c r="B93" s="285">
        <v>84</v>
      </c>
      <c r="C93" s="267">
        <f t="shared" si="26"/>
      </c>
      <c r="D93" s="267">
        <f t="shared" si="27"/>
      </c>
      <c r="E93" s="267" t="str">
        <f t="shared" si="28"/>
        <v>Moritz, Leon</v>
      </c>
      <c r="F93" s="251"/>
      <c r="G93" s="251"/>
      <c r="H93" s="267"/>
      <c r="I93" s="251"/>
      <c r="J93" s="251"/>
      <c r="K93" s="267"/>
      <c r="L93" s="251"/>
      <c r="M93" s="251"/>
      <c r="N93" s="267"/>
      <c r="O93" s="251"/>
      <c r="P93" s="251"/>
      <c r="Q93" s="267"/>
      <c r="R93" s="267"/>
      <c r="S93" s="267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</row>
    <row r="94" spans="1:32" s="258" customFormat="1" ht="18" customHeight="1" hidden="1">
      <c r="A94" s="285"/>
      <c r="B94" s="285">
        <v>85</v>
      </c>
      <c r="C94" s="267">
        <f t="shared" si="26"/>
      </c>
      <c r="D94" s="267">
        <f t="shared" si="27"/>
      </c>
      <c r="E94" s="267" t="str">
        <f t="shared" si="28"/>
        <v>Dolgow, Danny</v>
      </c>
      <c r="F94" s="251"/>
      <c r="G94" s="251"/>
      <c r="H94" s="267"/>
      <c r="I94" s="251"/>
      <c r="J94" s="251"/>
      <c r="K94" s="267"/>
      <c r="L94" s="251"/>
      <c r="M94" s="251"/>
      <c r="N94" s="267"/>
      <c r="O94" s="251"/>
      <c r="P94" s="251"/>
      <c r="Q94" s="267"/>
      <c r="R94" s="267"/>
      <c r="S94" s="267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</row>
    <row r="95" spans="1:32" s="258" customFormat="1" ht="18" customHeight="1" hidden="1">
      <c r="A95" s="285"/>
      <c r="B95" s="285">
        <v>86</v>
      </c>
      <c r="C95" s="267">
        <f t="shared" si="26"/>
      </c>
      <c r="D95" s="267">
        <f t="shared" si="27"/>
      </c>
      <c r="E95" s="267" t="str">
        <f t="shared" si="28"/>
        <v>Dittberner, Jason</v>
      </c>
      <c r="F95" s="251"/>
      <c r="G95" s="251"/>
      <c r="H95" s="267"/>
      <c r="I95" s="251"/>
      <c r="J95" s="251"/>
      <c r="K95" s="267"/>
      <c r="L95" s="251"/>
      <c r="M95" s="251"/>
      <c r="N95" s="267"/>
      <c r="O95" s="251"/>
      <c r="P95" s="251"/>
      <c r="Q95" s="267"/>
      <c r="R95" s="267"/>
      <c r="S95" s="267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</row>
    <row r="96" spans="1:32" s="258" customFormat="1" ht="18" customHeight="1" hidden="1">
      <c r="A96" s="285"/>
      <c r="B96" s="285">
        <v>87</v>
      </c>
      <c r="C96" s="267">
        <f t="shared" si="26"/>
      </c>
      <c r="D96" s="267">
        <f t="shared" si="27"/>
      </c>
      <c r="E96" s="267" t="str">
        <f t="shared" si="28"/>
        <v>Kopplow, Justin</v>
      </c>
      <c r="F96" s="251"/>
      <c r="G96" s="251"/>
      <c r="H96" s="267"/>
      <c r="I96" s="251"/>
      <c r="J96" s="251"/>
      <c r="K96" s="267"/>
      <c r="L96" s="251"/>
      <c r="M96" s="251"/>
      <c r="N96" s="267"/>
      <c r="O96" s="251"/>
      <c r="P96" s="251"/>
      <c r="Q96" s="267"/>
      <c r="R96" s="267"/>
      <c r="S96" s="267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</row>
    <row r="97" spans="1:32" s="258" customFormat="1" ht="18" customHeight="1" hidden="1">
      <c r="A97" s="285"/>
      <c r="B97" s="285">
        <v>88</v>
      </c>
      <c r="C97" s="267">
        <f t="shared" si="26"/>
      </c>
      <c r="D97" s="267">
        <f t="shared" si="27"/>
      </c>
      <c r="E97" s="267" t="str">
        <f t="shared" si="28"/>
        <v>Dichau, André</v>
      </c>
      <c r="F97" s="251"/>
      <c r="G97" s="251"/>
      <c r="H97" s="267"/>
      <c r="I97" s="251"/>
      <c r="J97" s="251"/>
      <c r="K97" s="267"/>
      <c r="L97" s="251"/>
      <c r="M97" s="251"/>
      <c r="N97" s="267"/>
      <c r="O97" s="251"/>
      <c r="P97" s="251"/>
      <c r="Q97" s="267"/>
      <c r="R97" s="267"/>
      <c r="S97" s="267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</row>
    <row r="98" spans="1:32" s="258" customFormat="1" ht="18" customHeight="1" hidden="1">
      <c r="A98" s="285"/>
      <c r="B98" s="285">
        <v>89</v>
      </c>
      <c r="C98" s="267">
        <f t="shared" si="26"/>
      </c>
      <c r="D98" s="267">
        <f t="shared" si="27"/>
      </c>
      <c r="E98" s="267">
        <f t="shared" si="28"/>
      </c>
      <c r="F98" s="251"/>
      <c r="G98" s="251"/>
      <c r="H98" s="267"/>
      <c r="I98" s="251"/>
      <c r="J98" s="251"/>
      <c r="K98" s="267"/>
      <c r="L98" s="251"/>
      <c r="M98" s="251"/>
      <c r="N98" s="267"/>
      <c r="O98" s="251"/>
      <c r="P98" s="251"/>
      <c r="Q98" s="267"/>
      <c r="R98" s="267"/>
      <c r="S98" s="267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</row>
    <row r="99" spans="1:32" s="258" customFormat="1" ht="18" customHeight="1" hidden="1">
      <c r="A99" s="285"/>
      <c r="B99" s="285">
        <v>90</v>
      </c>
      <c r="C99" s="267">
        <f t="shared" si="26"/>
      </c>
      <c r="D99" s="267">
        <f t="shared" si="27"/>
      </c>
      <c r="E99" s="267">
        <f t="shared" si="28"/>
      </c>
      <c r="F99" s="251"/>
      <c r="G99" s="251"/>
      <c r="H99" s="267"/>
      <c r="I99" s="251"/>
      <c r="J99" s="251"/>
      <c r="K99" s="267"/>
      <c r="L99" s="251"/>
      <c r="M99" s="251"/>
      <c r="N99" s="267"/>
      <c r="O99" s="251"/>
      <c r="P99" s="251"/>
      <c r="Q99" s="267"/>
      <c r="R99" s="267"/>
      <c r="S99" s="267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</row>
    <row r="100" spans="1:32" s="258" customFormat="1" ht="18" customHeight="1" hidden="1">
      <c r="A100" s="285"/>
      <c r="B100" s="285">
        <v>91</v>
      </c>
      <c r="C100" s="267">
        <f t="shared" si="26"/>
      </c>
      <c r="D100" s="267">
        <f t="shared" si="27"/>
      </c>
      <c r="E100" s="267">
        <f t="shared" si="28"/>
      </c>
      <c r="F100" s="251"/>
      <c r="G100" s="251"/>
      <c r="H100" s="267"/>
      <c r="I100" s="251"/>
      <c r="J100" s="251"/>
      <c r="K100" s="267"/>
      <c r="L100" s="251"/>
      <c r="M100" s="251"/>
      <c r="N100" s="267"/>
      <c r="O100" s="251"/>
      <c r="P100" s="251"/>
      <c r="Q100" s="267"/>
      <c r="R100" s="267"/>
      <c r="S100" s="267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</row>
    <row r="101" spans="1:32" s="258" customFormat="1" ht="18" customHeight="1" hidden="1">
      <c r="A101" s="285"/>
      <c r="B101" s="285">
        <v>92</v>
      </c>
      <c r="C101" s="267">
        <f t="shared" si="26"/>
        <v>0</v>
      </c>
      <c r="D101" s="267">
        <f t="shared" si="27"/>
        <v>0</v>
      </c>
      <c r="E101" s="267">
        <f t="shared" si="28"/>
      </c>
      <c r="F101" s="251"/>
      <c r="G101" s="251"/>
      <c r="H101" s="267"/>
      <c r="I101" s="251"/>
      <c r="J101" s="251"/>
      <c r="K101" s="267"/>
      <c r="L101" s="251"/>
      <c r="M101" s="251"/>
      <c r="N101" s="267"/>
      <c r="O101" s="251"/>
      <c r="P101" s="251"/>
      <c r="Q101" s="267"/>
      <c r="R101" s="267"/>
      <c r="S101" s="267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</row>
    <row r="102" spans="1:32" s="258" customFormat="1" ht="18" customHeight="1" hidden="1">
      <c r="A102" s="285"/>
      <c r="B102" s="285">
        <v>93</v>
      </c>
      <c r="C102" s="267">
        <f t="shared" si="26"/>
        <v>0</v>
      </c>
      <c r="D102" s="267">
        <f t="shared" si="27"/>
        <v>0</v>
      </c>
      <c r="E102" s="267">
        <f t="shared" si="28"/>
      </c>
      <c r="F102" s="251"/>
      <c r="G102" s="251"/>
      <c r="H102" s="267"/>
      <c r="I102" s="251"/>
      <c r="J102" s="251"/>
      <c r="K102" s="267"/>
      <c r="L102" s="251"/>
      <c r="M102" s="251"/>
      <c r="N102" s="267"/>
      <c r="O102" s="251"/>
      <c r="P102" s="251"/>
      <c r="Q102" s="267"/>
      <c r="R102" s="267"/>
      <c r="S102" s="267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</row>
    <row r="103" spans="1:32" s="258" customFormat="1" ht="18" customHeight="1" hidden="1">
      <c r="A103" s="285"/>
      <c r="B103" s="285"/>
      <c r="C103" s="267"/>
      <c r="D103" s="267"/>
      <c r="E103" s="267"/>
      <c r="F103" s="251"/>
      <c r="G103" s="251"/>
      <c r="H103" s="267"/>
      <c r="I103" s="251"/>
      <c r="J103" s="251"/>
      <c r="K103" s="267"/>
      <c r="L103" s="251"/>
      <c r="M103" s="251"/>
      <c r="N103" s="267"/>
      <c r="O103" s="251"/>
      <c r="P103" s="251"/>
      <c r="Q103" s="267"/>
      <c r="R103" s="267"/>
      <c r="S103" s="267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</row>
    <row r="104" spans="1:32" s="258" customFormat="1" ht="18" customHeight="1" hidden="1">
      <c r="A104" s="285"/>
      <c r="B104" s="285">
        <v>94</v>
      </c>
      <c r="C104" s="267">
        <f>I147</f>
      </c>
      <c r="D104" s="267">
        <f>J147</f>
      </c>
      <c r="E104" s="267" t="str">
        <f>K147</f>
        <v>Böhm, Max</v>
      </c>
      <c r="F104" s="251"/>
      <c r="G104" s="251"/>
      <c r="H104" s="267"/>
      <c r="I104" s="251"/>
      <c r="J104" s="251"/>
      <c r="K104" s="267"/>
      <c r="L104" s="251"/>
      <c r="M104" s="251"/>
      <c r="N104" s="267"/>
      <c r="O104" s="251"/>
      <c r="P104" s="251"/>
      <c r="Q104" s="267"/>
      <c r="R104" s="267"/>
      <c r="S104" s="267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</row>
    <row r="105" spans="1:32" s="258" customFormat="1" ht="18" customHeight="1" hidden="1">
      <c r="A105" s="285"/>
      <c r="B105" s="285">
        <v>95</v>
      </c>
      <c r="C105" s="267">
        <f aca="true" t="shared" si="29" ref="C105:C115">I148</f>
      </c>
      <c r="D105" s="267">
        <f aca="true" t="shared" si="30" ref="D105:D115">J148</f>
      </c>
      <c r="E105" s="267" t="str">
        <f aca="true" t="shared" si="31" ref="E105:E115">K148</f>
        <v>Kutz, André</v>
      </c>
      <c r="F105" s="251"/>
      <c r="G105" s="251"/>
      <c r="H105" s="267"/>
      <c r="I105" s="251"/>
      <c r="J105" s="251"/>
      <c r="K105" s="267"/>
      <c r="L105" s="251"/>
      <c r="M105" s="251"/>
      <c r="N105" s="267"/>
      <c r="O105" s="251"/>
      <c r="P105" s="251"/>
      <c r="Q105" s="267"/>
      <c r="R105" s="267"/>
      <c r="S105" s="267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</row>
    <row r="106" spans="1:32" s="258" customFormat="1" ht="18" customHeight="1" hidden="1">
      <c r="A106" s="285"/>
      <c r="B106" s="285">
        <v>96</v>
      </c>
      <c r="C106" s="267">
        <f t="shared" si="29"/>
      </c>
      <c r="D106" s="267">
        <f t="shared" si="30"/>
      </c>
      <c r="E106" s="267" t="str">
        <f t="shared" si="31"/>
        <v>Päßler, Randy-René</v>
      </c>
      <c r="F106" s="251"/>
      <c r="G106" s="251"/>
      <c r="H106" s="267"/>
      <c r="I106" s="251"/>
      <c r="J106" s="251"/>
      <c r="K106" s="267"/>
      <c r="L106" s="251"/>
      <c r="M106" s="251"/>
      <c r="N106" s="267"/>
      <c r="O106" s="251"/>
      <c r="P106" s="251"/>
      <c r="Q106" s="267"/>
      <c r="R106" s="267"/>
      <c r="S106" s="267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</row>
    <row r="107" spans="1:32" s="258" customFormat="1" ht="18" customHeight="1" hidden="1">
      <c r="A107" s="285"/>
      <c r="B107" s="285">
        <v>97</v>
      </c>
      <c r="C107" s="267">
        <f t="shared" si="29"/>
      </c>
      <c r="D107" s="267">
        <f t="shared" si="30"/>
      </c>
      <c r="E107" s="267" t="str">
        <f t="shared" si="31"/>
        <v>Schaab, Oliver</v>
      </c>
      <c r="F107" s="251"/>
      <c r="G107" s="251"/>
      <c r="H107" s="267"/>
      <c r="I107" s="251"/>
      <c r="J107" s="251"/>
      <c r="K107" s="267"/>
      <c r="L107" s="251"/>
      <c r="M107" s="251"/>
      <c r="N107" s="267"/>
      <c r="O107" s="251"/>
      <c r="P107" s="251"/>
      <c r="Q107" s="267"/>
      <c r="R107" s="267"/>
      <c r="S107" s="267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</row>
    <row r="108" spans="1:32" s="258" customFormat="1" ht="18" customHeight="1" hidden="1">
      <c r="A108" s="285"/>
      <c r="B108" s="285">
        <v>98</v>
      </c>
      <c r="C108" s="267">
        <f t="shared" si="29"/>
      </c>
      <c r="D108" s="267">
        <f t="shared" si="30"/>
      </c>
      <c r="E108" s="267">
        <f t="shared" si="31"/>
      </c>
      <c r="F108" s="251"/>
      <c r="G108" s="251"/>
      <c r="H108" s="267"/>
      <c r="I108" s="251"/>
      <c r="J108" s="251"/>
      <c r="K108" s="267"/>
      <c r="L108" s="251"/>
      <c r="M108" s="251"/>
      <c r="N108" s="267"/>
      <c r="O108" s="251"/>
      <c r="P108" s="251"/>
      <c r="Q108" s="267"/>
      <c r="R108" s="267"/>
      <c r="S108" s="267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</row>
    <row r="109" spans="1:32" s="258" customFormat="1" ht="18" customHeight="1" hidden="1">
      <c r="A109" s="285"/>
      <c r="B109" s="285">
        <v>99</v>
      </c>
      <c r="C109" s="267">
        <f t="shared" si="29"/>
      </c>
      <c r="D109" s="267">
        <f t="shared" si="30"/>
      </c>
      <c r="E109" s="267">
        <f t="shared" si="31"/>
      </c>
      <c r="F109" s="251"/>
      <c r="G109" s="251"/>
      <c r="H109" s="267"/>
      <c r="I109" s="251"/>
      <c r="J109" s="251"/>
      <c r="K109" s="267"/>
      <c r="L109" s="251"/>
      <c r="M109" s="251"/>
      <c r="N109" s="267"/>
      <c r="O109" s="251"/>
      <c r="P109" s="251"/>
      <c r="Q109" s="267"/>
      <c r="R109" s="267"/>
      <c r="S109" s="267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</row>
    <row r="110" spans="1:32" s="258" customFormat="1" ht="18" customHeight="1" hidden="1">
      <c r="A110" s="285"/>
      <c r="B110" s="285">
        <v>100</v>
      </c>
      <c r="C110" s="267">
        <f t="shared" si="29"/>
      </c>
      <c r="D110" s="267">
        <f t="shared" si="30"/>
      </c>
      <c r="E110" s="267">
        <f t="shared" si="31"/>
      </c>
      <c r="F110" s="251"/>
      <c r="G110" s="251"/>
      <c r="H110" s="267"/>
      <c r="I110" s="251"/>
      <c r="J110" s="251"/>
      <c r="K110" s="267"/>
      <c r="L110" s="251"/>
      <c r="M110" s="251"/>
      <c r="N110" s="267"/>
      <c r="O110" s="251"/>
      <c r="P110" s="251"/>
      <c r="Q110" s="267"/>
      <c r="R110" s="267"/>
      <c r="S110" s="267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</row>
    <row r="111" spans="1:32" s="258" customFormat="1" ht="18" customHeight="1" hidden="1">
      <c r="A111" s="285"/>
      <c r="B111" s="285">
        <v>101</v>
      </c>
      <c r="C111" s="267">
        <f t="shared" si="29"/>
      </c>
      <c r="D111" s="267">
        <f t="shared" si="30"/>
      </c>
      <c r="E111" s="267">
        <f t="shared" si="31"/>
      </c>
      <c r="F111" s="251"/>
      <c r="G111" s="251"/>
      <c r="H111" s="267"/>
      <c r="I111" s="251"/>
      <c r="J111" s="251"/>
      <c r="K111" s="267"/>
      <c r="L111" s="251"/>
      <c r="M111" s="251"/>
      <c r="N111" s="267"/>
      <c r="O111" s="251"/>
      <c r="P111" s="251"/>
      <c r="Q111" s="267"/>
      <c r="R111" s="267"/>
      <c r="S111" s="267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</row>
    <row r="112" spans="1:32" s="258" customFormat="1" ht="18" customHeight="1" hidden="1">
      <c r="A112" s="285"/>
      <c r="B112" s="285">
        <v>102</v>
      </c>
      <c r="C112" s="267">
        <f t="shared" si="29"/>
      </c>
      <c r="D112" s="267">
        <f t="shared" si="30"/>
      </c>
      <c r="E112" s="267">
        <f t="shared" si="31"/>
      </c>
      <c r="F112" s="251"/>
      <c r="G112" s="251"/>
      <c r="H112" s="267"/>
      <c r="I112" s="251"/>
      <c r="J112" s="251"/>
      <c r="K112" s="267"/>
      <c r="L112" s="251"/>
      <c r="M112" s="251"/>
      <c r="N112" s="267"/>
      <c r="O112" s="251"/>
      <c r="P112" s="251"/>
      <c r="Q112" s="267"/>
      <c r="R112" s="267"/>
      <c r="S112" s="267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</row>
    <row r="113" spans="1:32" s="258" customFormat="1" ht="18" customHeight="1" hidden="1">
      <c r="A113" s="285"/>
      <c r="B113" s="285">
        <v>103</v>
      </c>
      <c r="C113" s="267">
        <f t="shared" si="29"/>
      </c>
      <c r="D113" s="267">
        <f t="shared" si="30"/>
      </c>
      <c r="E113" s="267">
        <f t="shared" si="31"/>
      </c>
      <c r="F113" s="251"/>
      <c r="G113" s="251"/>
      <c r="H113" s="267"/>
      <c r="I113" s="251"/>
      <c r="J113" s="251"/>
      <c r="K113" s="267"/>
      <c r="L113" s="251"/>
      <c r="M113" s="251"/>
      <c r="N113" s="267"/>
      <c r="O113" s="251"/>
      <c r="P113" s="251"/>
      <c r="Q113" s="267"/>
      <c r="R113" s="267"/>
      <c r="S113" s="267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</row>
    <row r="114" spans="1:32" s="258" customFormat="1" ht="18" customHeight="1" hidden="1">
      <c r="A114" s="285"/>
      <c r="B114" s="285">
        <v>104</v>
      </c>
      <c r="C114" s="267">
        <f t="shared" si="29"/>
        <v>0</v>
      </c>
      <c r="D114" s="267">
        <f t="shared" si="30"/>
        <v>0</v>
      </c>
      <c r="E114" s="267">
        <f t="shared" si="31"/>
      </c>
      <c r="F114" s="251"/>
      <c r="G114" s="251"/>
      <c r="H114" s="267"/>
      <c r="I114" s="251"/>
      <c r="J114" s="251"/>
      <c r="K114" s="267"/>
      <c r="L114" s="251"/>
      <c r="M114" s="251"/>
      <c r="N114" s="267"/>
      <c r="O114" s="251"/>
      <c r="P114" s="251"/>
      <c r="Q114" s="267"/>
      <c r="R114" s="267"/>
      <c r="S114" s="267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</row>
    <row r="115" spans="1:32" s="258" customFormat="1" ht="18" customHeight="1" hidden="1">
      <c r="A115" s="285"/>
      <c r="B115" s="285">
        <v>105</v>
      </c>
      <c r="C115" s="267">
        <f t="shared" si="29"/>
        <v>0</v>
      </c>
      <c r="D115" s="267">
        <f t="shared" si="30"/>
        <v>0</v>
      </c>
      <c r="E115" s="267">
        <f t="shared" si="31"/>
      </c>
      <c r="F115" s="251"/>
      <c r="G115" s="251"/>
      <c r="H115" s="267"/>
      <c r="I115" s="251"/>
      <c r="J115" s="251"/>
      <c r="K115" s="267"/>
      <c r="L115" s="251"/>
      <c r="M115" s="251"/>
      <c r="N115" s="267"/>
      <c r="O115" s="251"/>
      <c r="P115" s="251"/>
      <c r="Q115" s="267"/>
      <c r="R115" s="267"/>
      <c r="S115" s="267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</row>
    <row r="116" spans="1:32" s="258" customFormat="1" ht="18" customHeight="1" hidden="1">
      <c r="A116" s="285"/>
      <c r="B116" s="285"/>
      <c r="C116" s="267"/>
      <c r="D116" s="267"/>
      <c r="E116" s="267"/>
      <c r="F116" s="251"/>
      <c r="G116" s="251"/>
      <c r="H116" s="267"/>
      <c r="I116" s="251"/>
      <c r="J116" s="251"/>
      <c r="K116" s="267"/>
      <c r="L116" s="251"/>
      <c r="M116" s="251"/>
      <c r="N116" s="267"/>
      <c r="O116" s="251"/>
      <c r="P116" s="251"/>
      <c r="Q116" s="267"/>
      <c r="R116" s="267"/>
      <c r="S116" s="267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</row>
    <row r="117" spans="1:32" s="258" customFormat="1" ht="18" customHeight="1" hidden="1">
      <c r="A117" s="285"/>
      <c r="B117" s="285">
        <v>106</v>
      </c>
      <c r="C117" s="267" t="e">
        <f>#REF!</f>
        <v>#REF!</v>
      </c>
      <c r="D117" s="267" t="e">
        <f>#REF!</f>
        <v>#REF!</v>
      </c>
      <c r="E117" s="267" t="e">
        <f>#REF!</f>
        <v>#REF!</v>
      </c>
      <c r="F117" s="251"/>
      <c r="G117" s="251"/>
      <c r="H117" s="267"/>
      <c r="I117" s="251"/>
      <c r="J117" s="251"/>
      <c r="K117" s="267"/>
      <c r="L117" s="251"/>
      <c r="M117" s="251"/>
      <c r="N117" s="267"/>
      <c r="O117" s="251"/>
      <c r="P117" s="251"/>
      <c r="Q117" s="267"/>
      <c r="R117" s="267"/>
      <c r="S117" s="267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</row>
    <row r="118" spans="1:32" s="258" customFormat="1" ht="18" customHeight="1" hidden="1">
      <c r="A118" s="285"/>
      <c r="B118" s="285">
        <v>107</v>
      </c>
      <c r="C118" s="267" t="e">
        <f>#REF!</f>
        <v>#REF!</v>
      </c>
      <c r="D118" s="267" t="e">
        <f>#REF!</f>
        <v>#REF!</v>
      </c>
      <c r="E118" s="267" t="e">
        <f>#REF!</f>
        <v>#REF!</v>
      </c>
      <c r="F118" s="251"/>
      <c r="G118" s="251"/>
      <c r="H118" s="267"/>
      <c r="I118" s="251"/>
      <c r="J118" s="251"/>
      <c r="K118" s="267"/>
      <c r="L118" s="251"/>
      <c r="M118" s="251"/>
      <c r="N118" s="267"/>
      <c r="O118" s="251"/>
      <c r="P118" s="251"/>
      <c r="Q118" s="267"/>
      <c r="R118" s="267"/>
      <c r="S118" s="267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</row>
    <row r="119" spans="1:32" s="258" customFormat="1" ht="18" customHeight="1" hidden="1">
      <c r="A119" s="285"/>
      <c r="B119" s="285">
        <v>108</v>
      </c>
      <c r="C119" s="267" t="e">
        <f>#REF!</f>
        <v>#REF!</v>
      </c>
      <c r="D119" s="267" t="e">
        <f>#REF!</f>
        <v>#REF!</v>
      </c>
      <c r="E119" s="267" t="e">
        <f>#REF!</f>
        <v>#REF!</v>
      </c>
      <c r="F119" s="251"/>
      <c r="G119" s="251"/>
      <c r="H119" s="267"/>
      <c r="I119" s="251"/>
      <c r="J119" s="251"/>
      <c r="K119" s="267"/>
      <c r="L119" s="251"/>
      <c r="M119" s="251"/>
      <c r="N119" s="267"/>
      <c r="O119" s="251"/>
      <c r="P119" s="251"/>
      <c r="Q119" s="267"/>
      <c r="R119" s="267"/>
      <c r="S119" s="267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</row>
    <row r="120" spans="1:32" s="258" customFormat="1" ht="18" customHeight="1" hidden="1">
      <c r="A120" s="285"/>
      <c r="B120" s="285">
        <v>109</v>
      </c>
      <c r="C120" s="267" t="e">
        <f>#REF!</f>
        <v>#REF!</v>
      </c>
      <c r="D120" s="267" t="e">
        <f>#REF!</f>
        <v>#REF!</v>
      </c>
      <c r="E120" s="267" t="e">
        <f>#REF!</f>
        <v>#REF!</v>
      </c>
      <c r="F120" s="251"/>
      <c r="G120" s="251"/>
      <c r="H120" s="267"/>
      <c r="I120" s="251"/>
      <c r="J120" s="251"/>
      <c r="K120" s="267"/>
      <c r="L120" s="251"/>
      <c r="M120" s="251"/>
      <c r="N120" s="267"/>
      <c r="O120" s="251"/>
      <c r="P120" s="251"/>
      <c r="Q120" s="267"/>
      <c r="R120" s="267"/>
      <c r="S120" s="267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</row>
    <row r="121" spans="1:32" s="258" customFormat="1" ht="18" customHeight="1" hidden="1">
      <c r="A121" s="285"/>
      <c r="B121" s="285">
        <v>110</v>
      </c>
      <c r="C121" s="267" t="e">
        <f>#REF!</f>
        <v>#REF!</v>
      </c>
      <c r="D121" s="267" t="e">
        <f>#REF!</f>
        <v>#REF!</v>
      </c>
      <c r="E121" s="267" t="e">
        <f>#REF!</f>
        <v>#REF!</v>
      </c>
      <c r="F121" s="251"/>
      <c r="G121" s="251"/>
      <c r="H121" s="267"/>
      <c r="I121" s="251"/>
      <c r="J121" s="251"/>
      <c r="K121" s="267"/>
      <c r="L121" s="251"/>
      <c r="M121" s="251"/>
      <c r="N121" s="267"/>
      <c r="O121" s="251"/>
      <c r="P121" s="251"/>
      <c r="Q121" s="267"/>
      <c r="R121" s="267"/>
      <c r="S121" s="267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</row>
    <row r="122" spans="1:32" s="258" customFormat="1" ht="18" customHeight="1" hidden="1">
      <c r="A122" s="285"/>
      <c r="B122" s="285">
        <v>111</v>
      </c>
      <c r="C122" s="267" t="e">
        <f>#REF!</f>
        <v>#REF!</v>
      </c>
      <c r="D122" s="267" t="e">
        <f>#REF!</f>
        <v>#REF!</v>
      </c>
      <c r="E122" s="267" t="e">
        <f>#REF!</f>
        <v>#REF!</v>
      </c>
      <c r="F122" s="251"/>
      <c r="G122" s="251"/>
      <c r="H122" s="267"/>
      <c r="I122" s="251"/>
      <c r="J122" s="251"/>
      <c r="K122" s="267"/>
      <c r="L122" s="251"/>
      <c r="M122" s="251"/>
      <c r="N122" s="267"/>
      <c r="O122" s="251"/>
      <c r="P122" s="251"/>
      <c r="Q122" s="267"/>
      <c r="R122" s="267"/>
      <c r="S122" s="267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</row>
    <row r="123" spans="1:32" s="258" customFormat="1" ht="18" customHeight="1" hidden="1">
      <c r="A123" s="285"/>
      <c r="B123" s="285">
        <v>112</v>
      </c>
      <c r="C123" s="267" t="e">
        <f>#REF!</f>
        <v>#REF!</v>
      </c>
      <c r="D123" s="267" t="e">
        <f>#REF!</f>
        <v>#REF!</v>
      </c>
      <c r="E123" s="267" t="e">
        <f>#REF!</f>
        <v>#REF!</v>
      </c>
      <c r="F123" s="251"/>
      <c r="G123" s="251"/>
      <c r="H123" s="267"/>
      <c r="I123" s="251"/>
      <c r="J123" s="251"/>
      <c r="K123" s="267"/>
      <c r="L123" s="251"/>
      <c r="M123" s="251"/>
      <c r="N123" s="267"/>
      <c r="O123" s="251"/>
      <c r="P123" s="251"/>
      <c r="Q123" s="267"/>
      <c r="R123" s="267"/>
      <c r="S123" s="267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</row>
    <row r="124" spans="1:32" s="258" customFormat="1" ht="18" customHeight="1" hidden="1">
      <c r="A124" s="285"/>
      <c r="B124" s="285">
        <v>113</v>
      </c>
      <c r="C124" s="267" t="e">
        <f>#REF!</f>
        <v>#REF!</v>
      </c>
      <c r="D124" s="267" t="e">
        <f>#REF!</f>
        <v>#REF!</v>
      </c>
      <c r="E124" s="267" t="e">
        <f>#REF!</f>
        <v>#REF!</v>
      </c>
      <c r="F124" s="251"/>
      <c r="G124" s="251"/>
      <c r="H124" s="267"/>
      <c r="I124" s="251"/>
      <c r="J124" s="251"/>
      <c r="K124" s="267"/>
      <c r="L124" s="251"/>
      <c r="M124" s="251"/>
      <c r="N124" s="267"/>
      <c r="O124" s="251"/>
      <c r="P124" s="251"/>
      <c r="Q124" s="267"/>
      <c r="R124" s="267"/>
      <c r="S124" s="267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</row>
    <row r="125" spans="1:32" s="258" customFormat="1" ht="18" customHeight="1" hidden="1">
      <c r="A125" s="285"/>
      <c r="B125" s="285">
        <v>114</v>
      </c>
      <c r="C125" s="267" t="e">
        <f>#REF!</f>
        <v>#REF!</v>
      </c>
      <c r="D125" s="267" t="e">
        <f>#REF!</f>
        <v>#REF!</v>
      </c>
      <c r="E125" s="267" t="e">
        <f>#REF!</f>
        <v>#REF!</v>
      </c>
      <c r="F125" s="251"/>
      <c r="G125" s="251"/>
      <c r="H125" s="267"/>
      <c r="I125" s="251"/>
      <c r="J125" s="251"/>
      <c r="K125" s="267"/>
      <c r="L125" s="251"/>
      <c r="M125" s="251"/>
      <c r="N125" s="267"/>
      <c r="O125" s="251"/>
      <c r="P125" s="251"/>
      <c r="Q125" s="267"/>
      <c r="R125" s="267"/>
      <c r="S125" s="267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</row>
    <row r="126" spans="1:32" s="258" customFormat="1" ht="18" customHeight="1" hidden="1">
      <c r="A126" s="285"/>
      <c r="B126" s="285">
        <v>115</v>
      </c>
      <c r="C126" s="267" t="e">
        <f>#REF!</f>
        <v>#REF!</v>
      </c>
      <c r="D126" s="267" t="e">
        <f>#REF!</f>
        <v>#REF!</v>
      </c>
      <c r="E126" s="267" t="e">
        <f>#REF!</f>
        <v>#REF!</v>
      </c>
      <c r="F126" s="251"/>
      <c r="G126" s="251"/>
      <c r="H126" s="267"/>
      <c r="I126" s="251"/>
      <c r="J126" s="251"/>
      <c r="K126" s="267"/>
      <c r="L126" s="251"/>
      <c r="M126" s="251"/>
      <c r="N126" s="267"/>
      <c r="O126" s="251"/>
      <c r="P126" s="251"/>
      <c r="Q126" s="267"/>
      <c r="R126" s="267"/>
      <c r="S126" s="267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</row>
    <row r="127" spans="1:32" s="258" customFormat="1" ht="18" customHeight="1" hidden="1">
      <c r="A127" s="285"/>
      <c r="B127" s="285">
        <v>116</v>
      </c>
      <c r="C127" s="267" t="e">
        <f>#REF!</f>
        <v>#REF!</v>
      </c>
      <c r="D127" s="267" t="e">
        <f>#REF!</f>
        <v>#REF!</v>
      </c>
      <c r="E127" s="267" t="e">
        <f>#REF!</f>
        <v>#REF!</v>
      </c>
      <c r="F127" s="251"/>
      <c r="G127" s="251"/>
      <c r="H127" s="267"/>
      <c r="I127" s="251"/>
      <c r="J127" s="251"/>
      <c r="K127" s="267"/>
      <c r="L127" s="251"/>
      <c r="M127" s="251"/>
      <c r="N127" s="267"/>
      <c r="O127" s="251"/>
      <c r="P127" s="251"/>
      <c r="Q127" s="267"/>
      <c r="R127" s="267"/>
      <c r="S127" s="267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</row>
    <row r="128" spans="1:32" s="258" customFormat="1" ht="18" customHeight="1" hidden="1">
      <c r="A128" s="285"/>
      <c r="B128" s="285">
        <v>117</v>
      </c>
      <c r="C128" s="267" t="e">
        <f>#REF!</f>
        <v>#REF!</v>
      </c>
      <c r="D128" s="267" t="e">
        <f>#REF!</f>
        <v>#REF!</v>
      </c>
      <c r="E128" s="267" t="e">
        <f>#REF!</f>
        <v>#REF!</v>
      </c>
      <c r="F128" s="251"/>
      <c r="G128" s="251"/>
      <c r="H128" s="267"/>
      <c r="I128" s="251"/>
      <c r="J128" s="251"/>
      <c r="K128" s="267"/>
      <c r="L128" s="251"/>
      <c r="M128" s="251"/>
      <c r="N128" s="267"/>
      <c r="O128" s="251"/>
      <c r="P128" s="251"/>
      <c r="Q128" s="267"/>
      <c r="R128" s="267"/>
      <c r="S128" s="267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</row>
    <row r="129" spans="1:32" s="258" customFormat="1" ht="18" customHeight="1" hidden="1">
      <c r="A129" s="285"/>
      <c r="B129" s="285"/>
      <c r="C129" s="267"/>
      <c r="D129" s="267"/>
      <c r="E129" s="267"/>
      <c r="F129" s="251"/>
      <c r="G129" s="251"/>
      <c r="H129" s="267"/>
      <c r="I129" s="251"/>
      <c r="J129" s="251"/>
      <c r="K129" s="267"/>
      <c r="L129" s="251"/>
      <c r="M129" s="251"/>
      <c r="N129" s="267"/>
      <c r="O129" s="251"/>
      <c r="P129" s="251"/>
      <c r="Q129" s="267"/>
      <c r="R129" s="267"/>
      <c r="S129" s="267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</row>
    <row r="130" spans="1:32" s="258" customFormat="1" ht="18" customHeight="1" hidden="1">
      <c r="A130" s="285"/>
      <c r="B130" s="285">
        <v>118</v>
      </c>
      <c r="C130" s="267">
        <f>L147</f>
        <v>0</v>
      </c>
      <c r="D130" s="267">
        <f>M147</f>
        <v>0</v>
      </c>
      <c r="E130" s="267">
        <f>S147</f>
        <v>0</v>
      </c>
      <c r="F130" s="251"/>
      <c r="G130" s="251"/>
      <c r="H130" s="267"/>
      <c r="I130" s="251"/>
      <c r="J130" s="251"/>
      <c r="K130" s="267"/>
      <c r="L130" s="251"/>
      <c r="M130" s="251"/>
      <c r="N130" s="267"/>
      <c r="O130" s="251"/>
      <c r="P130" s="251"/>
      <c r="Q130" s="267"/>
      <c r="R130" s="267"/>
      <c r="S130" s="267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</row>
    <row r="131" spans="1:32" s="258" customFormat="1" ht="18" customHeight="1" hidden="1">
      <c r="A131" s="285"/>
      <c r="B131" s="285">
        <v>119</v>
      </c>
      <c r="C131" s="267">
        <f aca="true" t="shared" si="32" ref="C131:C141">L148</f>
        <v>0</v>
      </c>
      <c r="D131" s="267">
        <f aca="true" t="shared" si="33" ref="D131:D141">M148</f>
        <v>0</v>
      </c>
      <c r="E131" s="267">
        <f aca="true" t="shared" si="34" ref="E131:E141">S148</f>
        <v>0</v>
      </c>
      <c r="F131" s="251"/>
      <c r="G131" s="251"/>
      <c r="H131" s="267"/>
      <c r="I131" s="251"/>
      <c r="J131" s="251"/>
      <c r="K131" s="267"/>
      <c r="L131" s="251"/>
      <c r="M131" s="251"/>
      <c r="N131" s="267"/>
      <c r="O131" s="251"/>
      <c r="P131" s="251"/>
      <c r="Q131" s="267"/>
      <c r="R131" s="267"/>
      <c r="S131" s="267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</row>
    <row r="132" spans="1:32" s="258" customFormat="1" ht="18" customHeight="1" hidden="1">
      <c r="A132" s="285"/>
      <c r="B132" s="285">
        <v>120</v>
      </c>
      <c r="C132" s="267">
        <f t="shared" si="32"/>
        <v>0</v>
      </c>
      <c r="D132" s="267">
        <f t="shared" si="33"/>
        <v>0</v>
      </c>
      <c r="E132" s="267">
        <f t="shared" si="34"/>
        <v>0</v>
      </c>
      <c r="F132" s="251"/>
      <c r="G132" s="251"/>
      <c r="H132" s="267"/>
      <c r="I132" s="251"/>
      <c r="J132" s="251"/>
      <c r="K132" s="267"/>
      <c r="L132" s="251"/>
      <c r="M132" s="251"/>
      <c r="N132" s="267"/>
      <c r="O132" s="251"/>
      <c r="P132" s="251"/>
      <c r="Q132" s="267"/>
      <c r="R132" s="267"/>
      <c r="S132" s="267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</row>
    <row r="133" spans="1:32" s="258" customFormat="1" ht="18" customHeight="1" hidden="1">
      <c r="A133" s="285"/>
      <c r="B133" s="285">
        <v>121</v>
      </c>
      <c r="C133" s="267">
        <f t="shared" si="32"/>
        <v>0</v>
      </c>
      <c r="D133" s="267">
        <f t="shared" si="33"/>
        <v>0</v>
      </c>
      <c r="E133" s="267">
        <f t="shared" si="34"/>
        <v>0</v>
      </c>
      <c r="F133" s="251"/>
      <c r="G133" s="251"/>
      <c r="H133" s="267"/>
      <c r="I133" s="251"/>
      <c r="J133" s="251"/>
      <c r="K133" s="267"/>
      <c r="L133" s="251"/>
      <c r="M133" s="251"/>
      <c r="N133" s="267"/>
      <c r="O133" s="251"/>
      <c r="P133" s="251"/>
      <c r="Q133" s="267"/>
      <c r="R133" s="267"/>
      <c r="S133" s="267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</row>
    <row r="134" spans="1:32" s="258" customFormat="1" ht="18" customHeight="1" hidden="1">
      <c r="A134" s="285"/>
      <c r="B134" s="285">
        <v>122</v>
      </c>
      <c r="C134" s="267">
        <f t="shared" si="32"/>
        <v>0</v>
      </c>
      <c r="D134" s="267">
        <f t="shared" si="33"/>
        <v>0</v>
      </c>
      <c r="E134" s="267">
        <f t="shared" si="34"/>
        <v>0</v>
      </c>
      <c r="F134" s="251"/>
      <c r="G134" s="251"/>
      <c r="H134" s="267"/>
      <c r="I134" s="251"/>
      <c r="J134" s="251"/>
      <c r="K134" s="267"/>
      <c r="L134" s="251"/>
      <c r="M134" s="251"/>
      <c r="N134" s="267"/>
      <c r="O134" s="251"/>
      <c r="P134" s="251"/>
      <c r="Q134" s="267"/>
      <c r="R134" s="267"/>
      <c r="S134" s="267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</row>
    <row r="135" spans="1:16" s="258" customFormat="1" ht="18" customHeight="1" hidden="1">
      <c r="A135" s="286"/>
      <c r="B135" s="285">
        <v>123</v>
      </c>
      <c r="C135" s="267">
        <f t="shared" si="32"/>
        <v>0</v>
      </c>
      <c r="D135" s="267">
        <f t="shared" si="33"/>
        <v>0</v>
      </c>
      <c r="E135" s="267">
        <f t="shared" si="34"/>
        <v>0</v>
      </c>
      <c r="F135" s="251"/>
      <c r="G135" s="251"/>
      <c r="H135" s="287"/>
      <c r="I135" s="288"/>
      <c r="J135" s="288"/>
      <c r="K135" s="287"/>
      <c r="L135" s="288"/>
      <c r="M135" s="288"/>
      <c r="O135" s="259"/>
      <c r="P135" s="259"/>
    </row>
    <row r="136" spans="1:16" s="258" customFormat="1" ht="18" customHeight="1" hidden="1">
      <c r="A136" s="286"/>
      <c r="B136" s="285">
        <v>124</v>
      </c>
      <c r="C136" s="267">
        <f t="shared" si="32"/>
        <v>0</v>
      </c>
      <c r="D136" s="267">
        <f t="shared" si="33"/>
        <v>0</v>
      </c>
      <c r="E136" s="267">
        <f t="shared" si="34"/>
        <v>0</v>
      </c>
      <c r="F136" s="251"/>
      <c r="G136" s="251"/>
      <c r="H136" s="287"/>
      <c r="I136" s="288"/>
      <c r="J136" s="288"/>
      <c r="K136" s="287"/>
      <c r="L136" s="288"/>
      <c r="M136" s="288"/>
      <c r="O136" s="259"/>
      <c r="P136" s="259"/>
    </row>
    <row r="137" spans="1:16" s="258" customFormat="1" ht="18" customHeight="1" hidden="1">
      <c r="A137" s="286"/>
      <c r="B137" s="285">
        <v>125</v>
      </c>
      <c r="C137" s="267">
        <f t="shared" si="32"/>
        <v>0</v>
      </c>
      <c r="D137" s="267">
        <f t="shared" si="33"/>
        <v>0</v>
      </c>
      <c r="E137" s="267">
        <f t="shared" si="34"/>
        <v>0</v>
      </c>
      <c r="F137" s="251"/>
      <c r="G137" s="251"/>
      <c r="H137" s="287"/>
      <c r="I137" s="288"/>
      <c r="J137" s="288"/>
      <c r="K137" s="287"/>
      <c r="L137" s="288"/>
      <c r="M137" s="288"/>
      <c r="O137" s="259"/>
      <c r="P137" s="259"/>
    </row>
    <row r="138" spans="1:16" s="258" customFormat="1" ht="18" customHeight="1" hidden="1">
      <c r="A138" s="286"/>
      <c r="B138" s="285">
        <v>126</v>
      </c>
      <c r="C138" s="267">
        <f t="shared" si="32"/>
        <v>0</v>
      </c>
      <c r="D138" s="267">
        <f t="shared" si="33"/>
        <v>0</v>
      </c>
      <c r="E138" s="267">
        <f t="shared" si="34"/>
        <v>0</v>
      </c>
      <c r="F138" s="251"/>
      <c r="G138" s="251"/>
      <c r="H138" s="287"/>
      <c r="I138" s="288"/>
      <c r="J138" s="288"/>
      <c r="K138" s="287"/>
      <c r="L138" s="288"/>
      <c r="M138" s="288"/>
      <c r="O138" s="259"/>
      <c r="P138" s="259"/>
    </row>
    <row r="139" spans="1:16" s="258" customFormat="1" ht="18" customHeight="1" hidden="1">
      <c r="A139" s="286"/>
      <c r="B139" s="285">
        <v>127</v>
      </c>
      <c r="C139" s="267">
        <f t="shared" si="32"/>
        <v>0</v>
      </c>
      <c r="D139" s="267">
        <f t="shared" si="33"/>
        <v>0</v>
      </c>
      <c r="E139" s="267">
        <f t="shared" si="34"/>
        <v>0</v>
      </c>
      <c r="F139" s="251"/>
      <c r="G139" s="251"/>
      <c r="H139" s="287"/>
      <c r="I139" s="288"/>
      <c r="J139" s="288"/>
      <c r="K139" s="287"/>
      <c r="L139" s="288"/>
      <c r="M139" s="288"/>
      <c r="O139" s="259"/>
      <c r="P139" s="259"/>
    </row>
    <row r="140" spans="1:16" s="258" customFormat="1" ht="18" customHeight="1" hidden="1">
      <c r="A140" s="286"/>
      <c r="B140" s="285">
        <v>128</v>
      </c>
      <c r="C140" s="267">
        <f t="shared" si="32"/>
        <v>0</v>
      </c>
      <c r="D140" s="267">
        <f t="shared" si="33"/>
        <v>0</v>
      </c>
      <c r="E140" s="267">
        <f t="shared" si="34"/>
        <v>0</v>
      </c>
      <c r="F140" s="251"/>
      <c r="G140" s="251"/>
      <c r="H140" s="287"/>
      <c r="I140" s="288"/>
      <c r="J140" s="288"/>
      <c r="K140" s="287"/>
      <c r="L140" s="288"/>
      <c r="M140" s="288"/>
      <c r="O140" s="259"/>
      <c r="P140" s="259"/>
    </row>
    <row r="141" spans="1:16" s="258" customFormat="1" ht="18" customHeight="1" hidden="1">
      <c r="A141" s="286"/>
      <c r="B141" s="285">
        <v>129</v>
      </c>
      <c r="C141" s="267">
        <f t="shared" si="32"/>
        <v>0</v>
      </c>
      <c r="D141" s="267">
        <f t="shared" si="33"/>
        <v>0</v>
      </c>
      <c r="E141" s="267">
        <f t="shared" si="34"/>
        <v>0</v>
      </c>
      <c r="F141" s="251"/>
      <c r="G141" s="251"/>
      <c r="H141" s="287"/>
      <c r="I141" s="288"/>
      <c r="J141" s="288"/>
      <c r="K141" s="287"/>
      <c r="L141" s="288"/>
      <c r="M141" s="288"/>
      <c r="O141" s="259"/>
      <c r="P141" s="259"/>
    </row>
    <row r="142" spans="1:32" s="264" customFormat="1" ht="15" customHeight="1" thickBot="1">
      <c r="A142" s="727" t="s">
        <v>6</v>
      </c>
      <c r="B142" s="727"/>
      <c r="C142" s="727"/>
      <c r="D142" s="727"/>
      <c r="E142" s="727"/>
      <c r="F142" s="728"/>
      <c r="G142" s="728"/>
      <c r="H142" s="727"/>
      <c r="I142" s="728"/>
      <c r="J142" s="728"/>
      <c r="K142" s="727"/>
      <c r="L142" s="728"/>
      <c r="M142" s="728"/>
      <c r="N142" s="727"/>
      <c r="O142" s="728"/>
      <c r="P142" s="728"/>
      <c r="Q142" s="727"/>
      <c r="R142" s="267"/>
      <c r="S142" s="267"/>
      <c r="T142" s="260"/>
      <c r="U142" s="258"/>
      <c r="V142" s="258"/>
      <c r="W142" s="260"/>
      <c r="X142" s="258"/>
      <c r="Y142" s="258"/>
      <c r="Z142" s="260"/>
      <c r="AA142" s="258"/>
      <c r="AB142" s="258"/>
      <c r="AC142" s="260"/>
      <c r="AD142" s="258"/>
      <c r="AE142" s="258"/>
      <c r="AF142" s="260"/>
    </row>
    <row r="143" spans="1:33" s="264" customFormat="1" ht="12.75" customHeight="1" thickBot="1" thickTop="1">
      <c r="A143" s="711" t="s">
        <v>86</v>
      </c>
      <c r="B143" s="289"/>
      <c r="C143" s="721" t="s">
        <v>86</v>
      </c>
      <c r="D143" s="722"/>
      <c r="E143" s="723"/>
      <c r="F143" s="721" t="s">
        <v>86</v>
      </c>
      <c r="G143" s="722"/>
      <c r="H143" s="723"/>
      <c r="I143" s="721" t="s">
        <v>86</v>
      </c>
      <c r="J143" s="722"/>
      <c r="K143" s="723"/>
      <c r="L143"/>
      <c r="M143"/>
      <c r="N143"/>
      <c r="O143"/>
      <c r="P143"/>
      <c r="Q143"/>
      <c r="R143"/>
      <c r="S143" s="267"/>
      <c r="T143" s="267"/>
      <c r="U143" s="260"/>
      <c r="V143" s="258"/>
      <c r="W143" s="258"/>
      <c r="X143" s="260"/>
      <c r="Y143" s="258"/>
      <c r="Z143" s="258"/>
      <c r="AA143" s="260"/>
      <c r="AB143" s="258"/>
      <c r="AC143" s="258"/>
      <c r="AD143" s="260"/>
      <c r="AE143" s="258"/>
      <c r="AF143" s="258"/>
      <c r="AG143" s="260"/>
    </row>
    <row r="144" spans="1:34" s="264" customFormat="1" ht="12.75" customHeight="1" thickTop="1">
      <c r="A144" s="712"/>
      <c r="B144" s="290"/>
      <c r="C144" s="724" t="s">
        <v>405</v>
      </c>
      <c r="D144" s="725"/>
      <c r="E144" s="726"/>
      <c r="F144" s="724" t="s">
        <v>406</v>
      </c>
      <c r="G144" s="725"/>
      <c r="H144" s="726"/>
      <c r="I144" s="724" t="s">
        <v>568</v>
      </c>
      <c r="J144" s="725"/>
      <c r="K144" s="726"/>
      <c r="L144"/>
      <c r="M144"/>
      <c r="N144"/>
      <c r="O144"/>
      <c r="P144"/>
      <c r="Q144"/>
      <c r="R144"/>
      <c r="S144"/>
      <c r="T144" s="267"/>
      <c r="U144" s="267"/>
      <c r="V144" s="260"/>
      <c r="W144" s="258"/>
      <c r="X144" s="258"/>
      <c r="Y144" s="260"/>
      <c r="Z144" s="258"/>
      <c r="AA144" s="258"/>
      <c r="AB144" s="260"/>
      <c r="AC144" s="258"/>
      <c r="AD144" s="258"/>
      <c r="AE144" s="260"/>
      <c r="AF144" s="258"/>
      <c r="AG144" s="258"/>
      <c r="AH144" s="260"/>
    </row>
    <row r="145" spans="1:34" s="203" customFormat="1" ht="12.75" customHeight="1" thickBot="1">
      <c r="A145" s="713"/>
      <c r="B145" s="273"/>
      <c r="C145" s="729" t="s">
        <v>535</v>
      </c>
      <c r="D145" s="730"/>
      <c r="E145" s="731"/>
      <c r="F145" s="729" t="s">
        <v>417</v>
      </c>
      <c r="G145" s="730"/>
      <c r="H145" s="731"/>
      <c r="I145" s="729" t="s">
        <v>569</v>
      </c>
      <c r="J145" s="730"/>
      <c r="K145" s="731"/>
      <c r="L145"/>
      <c r="M145"/>
      <c r="N145"/>
      <c r="O145"/>
      <c r="P145"/>
      <c r="Q145"/>
      <c r="R145"/>
      <c r="S145"/>
      <c r="T145" s="267"/>
      <c r="U145" s="267"/>
      <c r="V145" s="260"/>
      <c r="W145" s="258"/>
      <c r="X145" s="258"/>
      <c r="Y145" s="260"/>
      <c r="Z145" s="258"/>
      <c r="AA145" s="258"/>
      <c r="AB145" s="260"/>
      <c r="AC145" s="258"/>
      <c r="AD145" s="258"/>
      <c r="AE145" s="260"/>
      <c r="AF145" s="258"/>
      <c r="AG145" s="258"/>
      <c r="AH145" s="260"/>
    </row>
    <row r="146" spans="1:64" s="264" customFormat="1" ht="12.75" customHeight="1" thickBot="1" thickTop="1">
      <c r="A146" s="732" t="s">
        <v>38</v>
      </c>
      <c r="B146" s="271"/>
      <c r="C146" s="175" t="s">
        <v>89</v>
      </c>
      <c r="D146" s="176" t="s">
        <v>18</v>
      </c>
      <c r="E146" s="177" t="s">
        <v>90</v>
      </c>
      <c r="F146" s="175" t="s">
        <v>89</v>
      </c>
      <c r="G146" s="176" t="s">
        <v>18</v>
      </c>
      <c r="H146" s="177" t="s">
        <v>90</v>
      </c>
      <c r="I146" s="175" t="s">
        <v>89</v>
      </c>
      <c r="J146" s="176" t="s">
        <v>18</v>
      </c>
      <c r="K146" s="177" t="s">
        <v>90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 s="251"/>
      <c r="AZ146" s="251"/>
      <c r="BB146" s="291"/>
      <c r="BC146" s="291"/>
      <c r="BE146" s="291"/>
      <c r="BF146" s="291"/>
      <c r="BH146" s="291"/>
      <c r="BI146" s="291"/>
      <c r="BK146" s="291"/>
      <c r="BL146" s="291"/>
    </row>
    <row r="147" spans="1:34" s="203" customFormat="1" ht="12.75" customHeight="1">
      <c r="A147" s="733"/>
      <c r="B147" s="292"/>
      <c r="C147" s="158">
        <f>IF('Spielereinsatzliste B1'!B15="","",'Spielereinsatzliste B1'!B15)</f>
      </c>
      <c r="D147" s="159">
        <f>IF('Spielereinsatzliste B1'!C15="","",'Spielereinsatzliste B1'!C15)</f>
      </c>
      <c r="E147" s="172" t="str">
        <f>IF('Spielereinsatzliste B1'!D15="","",'Spielereinsatzliste B1'!D15)</f>
        <v>Butzke, Kjell</v>
      </c>
      <c r="F147" s="158">
        <f>IF('Spielereinsatzliste B2'!B15="","",'Spielereinsatzliste B2'!B15)</f>
      </c>
      <c r="G147" s="159">
        <f>IF('Spielereinsatzliste B2'!C15="","",'Spielereinsatzliste B2'!C15)</f>
      </c>
      <c r="H147" s="172" t="str">
        <f>IF('Spielereinsatzliste B2'!D15="","",'Spielereinsatzliste B2'!D15)</f>
        <v>Mohns, Derian</v>
      </c>
      <c r="I147" s="158">
        <f>IF('Spielereinsatzliste B3'!B15="","",'Spielereinsatzliste B3'!B15)</f>
      </c>
      <c r="J147" s="159">
        <f>IF('Spielereinsatzliste B3'!C15="","",'Spielereinsatzliste B3'!C15)</f>
      </c>
      <c r="K147" s="172" t="str">
        <f>IF('Spielereinsatzliste B3'!D15="","",'Spielereinsatzliste B3'!D15)</f>
        <v>Böhm, Max</v>
      </c>
      <c r="L147"/>
      <c r="M147"/>
      <c r="N147"/>
      <c r="O147"/>
      <c r="P147"/>
      <c r="Q147"/>
      <c r="R147"/>
      <c r="S147"/>
      <c r="T147" s="267"/>
      <c r="U147" s="267"/>
      <c r="V147" s="260"/>
      <c r="W147" s="258"/>
      <c r="X147" s="258"/>
      <c r="Y147" s="260"/>
      <c r="Z147" s="258"/>
      <c r="AA147" s="258"/>
      <c r="AB147" s="260"/>
      <c r="AC147" s="258"/>
      <c r="AD147" s="258"/>
      <c r="AE147" s="260"/>
      <c r="AF147" s="258"/>
      <c r="AG147" s="258"/>
      <c r="AH147" s="260"/>
    </row>
    <row r="148" spans="1:34" s="203" customFormat="1" ht="12.75" customHeight="1">
      <c r="A148" s="733"/>
      <c r="B148" s="293"/>
      <c r="C148" s="162">
        <f>IF('Spielereinsatzliste B1'!B16="","",'Spielereinsatzliste B1'!B16)</f>
      </c>
      <c r="D148" s="163">
        <f>IF('Spielereinsatzliste B1'!C16="","",'Spielereinsatzliste B1'!C16)</f>
      </c>
      <c r="E148" s="161" t="str">
        <f>IF('Spielereinsatzliste B1'!D16="","",'Spielereinsatzliste B1'!D16)</f>
        <v>Stumpenhagen, Robin</v>
      </c>
      <c r="F148" s="162">
        <f>IF('Spielereinsatzliste B2'!B16="","",'Spielereinsatzliste B2'!B16)</f>
      </c>
      <c r="G148" s="163">
        <f>IF('Spielereinsatzliste B2'!C16="","",'Spielereinsatzliste B2'!C16)</f>
      </c>
      <c r="H148" s="161" t="str">
        <f>IF('Spielereinsatzliste B2'!D16="","",'Spielereinsatzliste B2'!D16)</f>
        <v>Schulz, Till</v>
      </c>
      <c r="I148" s="162">
        <f>IF('Spielereinsatzliste B3'!B16="","",'Spielereinsatzliste B3'!B16)</f>
      </c>
      <c r="J148" s="163">
        <f>IF('Spielereinsatzliste B3'!C16="","",'Spielereinsatzliste B3'!C16)</f>
      </c>
      <c r="K148" s="161" t="str">
        <f>IF('Spielereinsatzliste B3'!D16="","",'Spielereinsatzliste B3'!D16)</f>
        <v>Kutz, André</v>
      </c>
      <c r="L148"/>
      <c r="M148"/>
      <c r="N148"/>
      <c r="O148"/>
      <c r="P148"/>
      <c r="Q148"/>
      <c r="R148"/>
      <c r="S148"/>
      <c r="T148" s="267"/>
      <c r="U148" s="267"/>
      <c r="V148" s="260"/>
      <c r="W148" s="258"/>
      <c r="X148" s="258"/>
      <c r="Y148" s="260"/>
      <c r="Z148" s="258"/>
      <c r="AA148" s="258"/>
      <c r="AB148" s="260"/>
      <c r="AC148" s="258"/>
      <c r="AD148" s="258"/>
      <c r="AE148" s="260"/>
      <c r="AF148" s="258"/>
      <c r="AG148" s="258"/>
      <c r="AH148" s="260"/>
    </row>
    <row r="149" spans="1:34" s="203" customFormat="1" ht="12.75" customHeight="1">
      <c r="A149" s="733"/>
      <c r="B149" s="293"/>
      <c r="C149" s="162">
        <f>IF('Spielereinsatzliste B1'!B17="","",'Spielereinsatzliste B1'!B17)</f>
      </c>
      <c r="D149" s="163">
        <f>IF('Spielereinsatzliste B1'!C17="","",'Spielereinsatzliste B1'!C17)</f>
      </c>
      <c r="E149" s="161" t="str">
        <f>IF('Spielereinsatzliste B1'!D17="","",'Spielereinsatzliste B1'!D17)</f>
        <v>Gabriel, René</v>
      </c>
      <c r="F149" s="162">
        <f>IF('Spielereinsatzliste B2'!B17="","",'Spielereinsatzliste B2'!B17)</f>
      </c>
      <c r="G149" s="163">
        <f>IF('Spielereinsatzliste B2'!C17="","",'Spielereinsatzliste B2'!C17)</f>
      </c>
      <c r="H149" s="161" t="str">
        <f>IF('Spielereinsatzliste B2'!D17="","",'Spielereinsatzliste B2'!D17)</f>
        <v>Moritz, Leon</v>
      </c>
      <c r="I149" s="162">
        <f>IF('Spielereinsatzliste B3'!B17="","",'Spielereinsatzliste B3'!B17)</f>
      </c>
      <c r="J149" s="163">
        <f>IF('Spielereinsatzliste B3'!C17="","",'Spielereinsatzliste B3'!C17)</f>
      </c>
      <c r="K149" s="161" t="str">
        <f>IF('Spielereinsatzliste B3'!D17="","",'Spielereinsatzliste B3'!D17)</f>
        <v>Päßler, Randy-René</v>
      </c>
      <c r="L149"/>
      <c r="M149"/>
      <c r="N149"/>
      <c r="O149"/>
      <c r="P149"/>
      <c r="Q149"/>
      <c r="R149"/>
      <c r="S149"/>
      <c r="T149" s="267"/>
      <c r="U149" s="267"/>
      <c r="V149" s="260"/>
      <c r="W149" s="258"/>
      <c r="X149" s="258"/>
      <c r="Y149" s="260"/>
      <c r="Z149" s="258"/>
      <c r="AA149" s="258"/>
      <c r="AB149" s="260"/>
      <c r="AC149" s="258"/>
      <c r="AD149" s="258"/>
      <c r="AE149" s="260"/>
      <c r="AF149" s="258"/>
      <c r="AG149" s="258"/>
      <c r="AH149" s="260"/>
    </row>
    <row r="150" spans="1:34" s="203" customFormat="1" ht="12.75" customHeight="1">
      <c r="A150" s="733"/>
      <c r="B150" s="293"/>
      <c r="C150" s="162">
        <f>IF('Spielereinsatzliste B1'!B18="","",'Spielereinsatzliste B1'!B18)</f>
      </c>
      <c r="D150" s="163">
        <f>IF('Spielereinsatzliste B1'!C18="","",'Spielereinsatzliste B1'!C18)</f>
      </c>
      <c r="E150" s="161" t="str">
        <f>IF('Spielereinsatzliste B1'!D18="","",'Spielereinsatzliste B1'!D18)</f>
        <v>Himmelhan, Hannes</v>
      </c>
      <c r="F150" s="162">
        <f>IF('Spielereinsatzliste B2'!B18="","",'Spielereinsatzliste B2'!B18)</f>
      </c>
      <c r="G150" s="163">
        <f>IF('Spielereinsatzliste B2'!C18="","",'Spielereinsatzliste B2'!C18)</f>
      </c>
      <c r="H150" s="161" t="str">
        <f>IF('Spielereinsatzliste B2'!D18="","",'Spielereinsatzliste B2'!D18)</f>
        <v>Dolgow, Danny</v>
      </c>
      <c r="I150" s="162">
        <f>IF('Spielereinsatzliste B3'!B18="","",'Spielereinsatzliste B3'!B18)</f>
      </c>
      <c r="J150" s="163">
        <f>IF('Spielereinsatzliste B3'!C18="","",'Spielereinsatzliste B3'!C18)</f>
      </c>
      <c r="K150" s="161" t="str">
        <f>IF('Spielereinsatzliste B3'!D18="","",'Spielereinsatzliste B3'!D18)</f>
        <v>Schaab, Oliver</v>
      </c>
      <c r="L150"/>
      <c r="M150"/>
      <c r="N150"/>
      <c r="O150"/>
      <c r="P150"/>
      <c r="Q150"/>
      <c r="R150"/>
      <c r="S150"/>
      <c r="T150" s="267"/>
      <c r="U150" s="267"/>
      <c r="V150" s="260"/>
      <c r="W150" s="258"/>
      <c r="X150" s="258"/>
      <c r="Y150" s="260"/>
      <c r="Z150" s="258"/>
      <c r="AA150" s="258"/>
      <c r="AB150" s="260"/>
      <c r="AC150" s="258"/>
      <c r="AD150" s="258"/>
      <c r="AE150" s="260"/>
      <c r="AF150" s="258"/>
      <c r="AG150" s="258"/>
      <c r="AH150" s="260"/>
    </row>
    <row r="151" spans="1:34" s="203" customFormat="1" ht="12.75" customHeight="1">
      <c r="A151" s="733"/>
      <c r="B151" s="293"/>
      <c r="C151" s="162">
        <f>IF('Spielereinsatzliste B1'!B19="","",'Spielereinsatzliste B1'!B19)</f>
      </c>
      <c r="D151" s="163">
        <f>IF('Spielereinsatzliste B1'!C19="","",'Spielereinsatzliste B1'!C19)</f>
      </c>
      <c r="E151" s="161" t="str">
        <f>IF('Spielereinsatzliste B1'!D19="","",'Spielereinsatzliste B1'!D19)</f>
        <v>Hullmann, Till</v>
      </c>
      <c r="F151" s="162">
        <f>IF('Spielereinsatzliste B2'!B19="","",'Spielereinsatzliste B2'!B19)</f>
      </c>
      <c r="G151" s="163">
        <f>IF('Spielereinsatzliste B2'!C19="","",'Spielereinsatzliste B2'!C19)</f>
      </c>
      <c r="H151" s="161" t="str">
        <f>IF('Spielereinsatzliste B2'!D19="","",'Spielereinsatzliste B2'!D19)</f>
        <v>Dittberner, Jason</v>
      </c>
      <c r="I151" s="162">
        <f>IF('Spielereinsatzliste B3'!B19="","",'Spielereinsatzliste B3'!B19)</f>
      </c>
      <c r="J151" s="163">
        <f>IF('Spielereinsatzliste B3'!C19="","",'Spielereinsatzliste B3'!C19)</f>
      </c>
      <c r="K151" s="161">
        <f>IF('Spielereinsatzliste B3'!D19="","",'Spielereinsatzliste B3'!D19)</f>
      </c>
      <c r="L151"/>
      <c r="M151"/>
      <c r="N151"/>
      <c r="O151"/>
      <c r="P151"/>
      <c r="Q151"/>
      <c r="R151"/>
      <c r="S151"/>
      <c r="T151" s="267"/>
      <c r="U151" s="267"/>
      <c r="V151" s="260"/>
      <c r="W151" s="258"/>
      <c r="X151" s="258"/>
      <c r="Y151" s="260"/>
      <c r="Z151" s="258"/>
      <c r="AA151" s="258"/>
      <c r="AB151" s="260"/>
      <c r="AC151" s="258"/>
      <c r="AD151" s="258"/>
      <c r="AE151" s="260"/>
      <c r="AF151" s="258"/>
      <c r="AG151" s="258"/>
      <c r="AH151" s="260"/>
    </row>
    <row r="152" spans="1:34" s="203" customFormat="1" ht="12.75" customHeight="1">
      <c r="A152" s="733"/>
      <c r="B152" s="293"/>
      <c r="C152" s="162">
        <f>IF('Spielereinsatzliste B1'!B20="","",'Spielereinsatzliste B1'!B20)</f>
      </c>
      <c r="D152" s="163">
        <f>IF('Spielereinsatzliste B1'!C20="","",'Spielereinsatzliste B1'!C20)</f>
      </c>
      <c r="E152" s="161" t="str">
        <f>IF('Spielereinsatzliste B1'!D20="","",'Spielereinsatzliste B1'!D20)</f>
        <v>Steinleitner, Marvin</v>
      </c>
      <c r="F152" s="162">
        <f>IF('Spielereinsatzliste B2'!B20="","",'Spielereinsatzliste B2'!B20)</f>
      </c>
      <c r="G152" s="163">
        <f>IF('Spielereinsatzliste B2'!C20="","",'Spielereinsatzliste B2'!C20)</f>
      </c>
      <c r="H152" s="161" t="str">
        <f>IF('Spielereinsatzliste B2'!D20="","",'Spielereinsatzliste B2'!D20)</f>
        <v>Kopplow, Justin</v>
      </c>
      <c r="I152" s="162">
        <f>IF('Spielereinsatzliste B3'!B20="","",'Spielereinsatzliste B3'!B20)</f>
      </c>
      <c r="J152" s="163">
        <f>IF('Spielereinsatzliste B3'!C20="","",'Spielereinsatzliste B3'!C20)</f>
      </c>
      <c r="K152" s="161">
        <f>IF('Spielereinsatzliste B3'!D20="","",'Spielereinsatzliste B3'!D20)</f>
      </c>
      <c r="L152"/>
      <c r="M152"/>
      <c r="N152"/>
      <c r="O152"/>
      <c r="P152"/>
      <c r="Q152"/>
      <c r="R152"/>
      <c r="S152"/>
      <c r="T152" s="267"/>
      <c r="U152" s="267"/>
      <c r="V152" s="260"/>
      <c r="W152" s="258"/>
      <c r="X152" s="258"/>
      <c r="Y152" s="260"/>
      <c r="Z152" s="258"/>
      <c r="AA152" s="258"/>
      <c r="AB152" s="260"/>
      <c r="AC152" s="258"/>
      <c r="AD152" s="258"/>
      <c r="AE152" s="260"/>
      <c r="AF152" s="258"/>
      <c r="AG152" s="258"/>
      <c r="AH152" s="260"/>
    </row>
    <row r="153" spans="1:34" s="203" customFormat="1" ht="12.75" customHeight="1">
      <c r="A153" s="733"/>
      <c r="B153" s="293"/>
      <c r="C153" s="162">
        <f>IF('Spielereinsatzliste B1'!B21="","",'Spielereinsatzliste B1'!B21)</f>
      </c>
      <c r="D153" s="163">
        <f>IF('Spielereinsatzliste B1'!C21="","",'Spielereinsatzliste B1'!C21)</f>
      </c>
      <c r="E153" s="161" t="str">
        <f>IF('Spielereinsatzliste B1'!D21="","",'Spielereinsatzliste B1'!D21)</f>
        <v>Dombert, Enrico</v>
      </c>
      <c r="F153" s="162">
        <f>IF('Spielereinsatzliste B2'!B21="","",'Spielereinsatzliste B2'!B21)</f>
      </c>
      <c r="G153" s="163">
        <f>IF('Spielereinsatzliste B2'!C21="","",'Spielereinsatzliste B2'!C21)</f>
      </c>
      <c r="H153" s="161" t="str">
        <f>IF('Spielereinsatzliste B2'!D21="","",'Spielereinsatzliste B2'!D21)</f>
        <v>Dichau, André</v>
      </c>
      <c r="I153" s="162">
        <f>IF('Spielereinsatzliste B3'!B21="","",'Spielereinsatzliste B3'!B21)</f>
      </c>
      <c r="J153" s="163">
        <f>IF('Spielereinsatzliste B3'!C21="","",'Spielereinsatzliste B3'!C21)</f>
      </c>
      <c r="K153" s="161">
        <f>IF('Spielereinsatzliste B3'!D21="","",'Spielereinsatzliste B3'!D21)</f>
      </c>
      <c r="L153"/>
      <c r="M153"/>
      <c r="N153"/>
      <c r="O153"/>
      <c r="P153"/>
      <c r="Q153"/>
      <c r="R153"/>
      <c r="S153"/>
      <c r="T153" s="267"/>
      <c r="U153" s="267"/>
      <c r="V153" s="260"/>
      <c r="W153" s="258"/>
      <c r="X153" s="258"/>
      <c r="Y153" s="260"/>
      <c r="Z153" s="258"/>
      <c r="AA153" s="258"/>
      <c r="AB153" s="260"/>
      <c r="AC153" s="258"/>
      <c r="AD153" s="258"/>
      <c r="AE153" s="260"/>
      <c r="AF153" s="258"/>
      <c r="AG153" s="258"/>
      <c r="AH153" s="260"/>
    </row>
    <row r="154" spans="1:34" s="203" customFormat="1" ht="12.75" customHeight="1">
      <c r="A154" s="734"/>
      <c r="B154" s="294"/>
      <c r="C154" s="162">
        <f>IF('Spielereinsatzliste B1'!B22="","",'Spielereinsatzliste B1'!B22)</f>
      </c>
      <c r="D154" s="163">
        <f>IF('Spielereinsatzliste B1'!C22="","",'Spielereinsatzliste B1'!C22)</f>
      </c>
      <c r="E154" s="161">
        <f>IF('Spielereinsatzliste B1'!D22="","",'Spielereinsatzliste B1'!D22)</f>
      </c>
      <c r="F154" s="162">
        <f>IF('Spielereinsatzliste B2'!B22="","",'Spielereinsatzliste B2'!B22)</f>
      </c>
      <c r="G154" s="163">
        <f>IF('Spielereinsatzliste B2'!C22="","",'Spielereinsatzliste B2'!C22)</f>
      </c>
      <c r="H154" s="161">
        <f>IF('Spielereinsatzliste B2'!D22="","",'Spielereinsatzliste B2'!D22)</f>
      </c>
      <c r="I154" s="162">
        <f>IF('Spielereinsatzliste B3'!B22="","",'Spielereinsatzliste B3'!B22)</f>
      </c>
      <c r="J154" s="163">
        <f>IF('Spielereinsatzliste B3'!C22="","",'Spielereinsatzliste B3'!C22)</f>
      </c>
      <c r="K154" s="161">
        <f>IF('Spielereinsatzliste B3'!D22="","",'Spielereinsatzliste B3'!D22)</f>
      </c>
      <c r="L154"/>
      <c r="M154"/>
      <c r="N154"/>
      <c r="O154"/>
      <c r="P154"/>
      <c r="Q154"/>
      <c r="R154"/>
      <c r="S154"/>
      <c r="T154" s="267"/>
      <c r="U154" s="267"/>
      <c r="V154" s="260"/>
      <c r="W154" s="258"/>
      <c r="X154" s="258"/>
      <c r="Y154" s="260"/>
      <c r="Z154" s="258"/>
      <c r="AA154" s="258"/>
      <c r="AB154" s="260"/>
      <c r="AC154" s="258"/>
      <c r="AD154" s="258"/>
      <c r="AE154" s="260"/>
      <c r="AF154" s="258"/>
      <c r="AG154" s="258"/>
      <c r="AH154" s="260"/>
    </row>
    <row r="155" spans="1:34" s="203" customFormat="1" ht="12.75" customHeight="1">
      <c r="A155" s="734"/>
      <c r="B155" s="294"/>
      <c r="C155" s="162">
        <f>IF('Spielereinsatzliste B1'!B23="","",'Spielereinsatzliste B1'!B23)</f>
      </c>
      <c r="D155" s="163">
        <f>IF('Spielereinsatzliste B1'!C23="","",'Spielereinsatzliste B1'!C23)</f>
      </c>
      <c r="E155" s="161">
        <f>IF('Spielereinsatzliste B1'!D23="","",'Spielereinsatzliste B1'!D23)</f>
      </c>
      <c r="F155" s="162">
        <f>IF('Spielereinsatzliste B2'!B23="","",'Spielereinsatzliste B2'!B23)</f>
      </c>
      <c r="G155" s="163">
        <f>IF('Spielereinsatzliste B2'!C23="","",'Spielereinsatzliste B2'!C23)</f>
      </c>
      <c r="H155" s="161">
        <f>IF('Spielereinsatzliste B2'!D23="","",'Spielereinsatzliste B2'!D23)</f>
      </c>
      <c r="I155" s="162">
        <f>IF('Spielereinsatzliste B3'!B23="","",'Spielereinsatzliste B3'!B23)</f>
      </c>
      <c r="J155" s="163">
        <f>IF('Spielereinsatzliste B3'!C23="","",'Spielereinsatzliste B3'!C23)</f>
      </c>
      <c r="K155" s="161">
        <f>IF('Spielereinsatzliste B3'!D23="","",'Spielereinsatzliste B3'!D23)</f>
      </c>
      <c r="L155"/>
      <c r="M155"/>
      <c r="N155"/>
      <c r="O155"/>
      <c r="P155"/>
      <c r="Q155"/>
      <c r="R155"/>
      <c r="S155"/>
      <c r="T155" s="267"/>
      <c r="U155" s="267"/>
      <c r="V155" s="260"/>
      <c r="W155" s="258"/>
      <c r="X155" s="258"/>
      <c r="Y155" s="260"/>
      <c r="Z155" s="258"/>
      <c r="AA155" s="258"/>
      <c r="AB155" s="260"/>
      <c r="AC155" s="258"/>
      <c r="AD155" s="258"/>
      <c r="AE155" s="260"/>
      <c r="AF155" s="258"/>
      <c r="AG155" s="258"/>
      <c r="AH155" s="260"/>
    </row>
    <row r="156" spans="1:34" s="203" customFormat="1" ht="12.75" customHeight="1" thickBot="1">
      <c r="A156" s="734"/>
      <c r="B156" s="294"/>
      <c r="C156" s="164">
        <f>IF('Spielereinsatzliste B1'!B24="","",'Spielereinsatzliste B1'!B24)</f>
      </c>
      <c r="D156" s="165">
        <f>IF('Spielereinsatzliste B1'!C24="","",'Spielereinsatzliste B1'!C24)</f>
      </c>
      <c r="E156" s="166">
        <f>IF('Spielereinsatzliste B1'!D24="","",'Spielereinsatzliste B1'!D24)</f>
      </c>
      <c r="F156" s="164">
        <f>IF('Spielereinsatzliste B2'!B24="","",'Spielereinsatzliste B2'!B24)</f>
      </c>
      <c r="G156" s="165">
        <f>IF('Spielereinsatzliste B2'!C24="","",'Spielereinsatzliste B2'!C24)</f>
      </c>
      <c r="H156" s="166">
        <f>IF('Spielereinsatzliste B2'!D24="","",'Spielereinsatzliste B2'!D24)</f>
      </c>
      <c r="I156" s="164">
        <f>IF('Spielereinsatzliste B3'!B24="","",'Spielereinsatzliste B3'!B24)</f>
      </c>
      <c r="J156" s="165">
        <f>IF('Spielereinsatzliste B3'!C24="","",'Spielereinsatzliste B3'!C24)</f>
      </c>
      <c r="K156" s="166">
        <f>IF('Spielereinsatzliste B3'!D24="","",'Spielereinsatzliste B3'!D24)</f>
      </c>
      <c r="L156"/>
      <c r="M156"/>
      <c r="N156"/>
      <c r="O156"/>
      <c r="P156"/>
      <c r="Q156"/>
      <c r="R156"/>
      <c r="S156"/>
      <c r="T156" s="267"/>
      <c r="U156" s="267"/>
      <c r="V156" s="260"/>
      <c r="W156" s="258"/>
      <c r="X156" s="258"/>
      <c r="Y156" s="260"/>
      <c r="Z156" s="258"/>
      <c r="AA156" s="258"/>
      <c r="AB156" s="260"/>
      <c r="AC156" s="258"/>
      <c r="AD156" s="258"/>
      <c r="AE156" s="260"/>
      <c r="AF156" s="258"/>
      <c r="AG156" s="258"/>
      <c r="AH156" s="260"/>
    </row>
    <row r="157" spans="1:34" s="203" customFormat="1" ht="12.75" customHeight="1">
      <c r="A157" s="173" t="s">
        <v>39</v>
      </c>
      <c r="B157" s="295"/>
      <c r="C157" s="167"/>
      <c r="D157" s="168"/>
      <c r="E157" s="160" t="str">
        <f>IF('Spielereinsatzliste B1'!D25="","",'Spielereinsatzliste B1'!D25)</f>
        <v>Himmelhan, Marcus</v>
      </c>
      <c r="F157" s="167"/>
      <c r="G157" s="168"/>
      <c r="H157" s="160">
        <f>IF('Spielereinsatzliste B2'!D25="","",'Spielereinsatzliste B2'!D25)</f>
      </c>
      <c r="I157" s="167"/>
      <c r="J157" s="168"/>
      <c r="K157" s="160">
        <f>IF('Spielereinsatzliste B3'!D25="","",'Spielereinsatzliste B3'!D25)</f>
      </c>
      <c r="L157"/>
      <c r="M157"/>
      <c r="N157"/>
      <c r="O157"/>
      <c r="P157"/>
      <c r="Q157"/>
      <c r="R157"/>
      <c r="S157"/>
      <c r="T157" s="267"/>
      <c r="U157" s="267"/>
      <c r="V157" s="260"/>
      <c r="W157" s="258"/>
      <c r="X157" s="258"/>
      <c r="Y157" s="260"/>
      <c r="Z157" s="258"/>
      <c r="AA157" s="258"/>
      <c r="AB157" s="260"/>
      <c r="AC157" s="258"/>
      <c r="AD157" s="258"/>
      <c r="AE157" s="260"/>
      <c r="AF157" s="258"/>
      <c r="AG157" s="258"/>
      <c r="AH157" s="260"/>
    </row>
    <row r="158" spans="1:34" s="203" customFormat="1" ht="12.75" customHeight="1" thickBot="1">
      <c r="A158" s="174" t="s">
        <v>40</v>
      </c>
      <c r="B158" s="296"/>
      <c r="C158" s="169"/>
      <c r="D158" s="170"/>
      <c r="E158" s="171" t="str">
        <f>IF('Spielereinsatzliste B1'!D26="","",'Spielereinsatzliste B1'!D26)</f>
        <v>Reimers, Bernd</v>
      </c>
      <c r="F158" s="169"/>
      <c r="G158" s="170"/>
      <c r="H158" s="171">
        <f>IF('Spielereinsatzliste B2'!D26="","",'Spielereinsatzliste B2'!D26)</f>
      </c>
      <c r="I158" s="169"/>
      <c r="J158" s="170"/>
      <c r="K158" s="171">
        <f>IF('Spielereinsatzliste B3'!D26="","",'Spielereinsatzliste B3'!D26)</f>
      </c>
      <c r="L158"/>
      <c r="M158"/>
      <c r="N158"/>
      <c r="O158"/>
      <c r="P158"/>
      <c r="Q158"/>
      <c r="R158"/>
      <c r="S158"/>
      <c r="T158" s="267"/>
      <c r="U158" s="267"/>
      <c r="V158" s="260"/>
      <c r="W158" s="258"/>
      <c r="X158" s="258"/>
      <c r="Y158" s="260"/>
      <c r="Z158" s="258"/>
      <c r="AA158" s="258"/>
      <c r="AB158" s="260"/>
      <c r="AC158" s="258"/>
      <c r="AD158" s="258"/>
      <c r="AE158" s="260"/>
      <c r="AF158" s="258"/>
      <c r="AG158" s="258"/>
      <c r="AH158" s="260"/>
    </row>
    <row r="159" spans="1:31" s="14" customFormat="1" ht="13.5" hidden="1" thickTop="1">
      <c r="A159" s="15"/>
      <c r="B159" s="25"/>
      <c r="C159" s="25"/>
      <c r="D159" s="25"/>
      <c r="E159" s="15"/>
      <c r="F159" s="25"/>
      <c r="G159" s="25"/>
      <c r="H159" s="15"/>
      <c r="I159" s="25"/>
      <c r="J159" s="25"/>
      <c r="L159" s="25"/>
      <c r="M159" s="25"/>
      <c r="O159" s="25"/>
      <c r="P159" s="25"/>
      <c r="R159" s="26"/>
      <c r="S159" s="26"/>
      <c r="U159" s="26"/>
      <c r="V159" s="26"/>
      <c r="X159" s="26"/>
      <c r="Y159" s="26"/>
      <c r="AA159" s="26"/>
      <c r="AB159" s="26"/>
      <c r="AD159" s="26"/>
      <c r="AE159" s="26"/>
    </row>
    <row r="160" spans="11:17" ht="12.75" hidden="1">
      <c r="K160" t="s">
        <v>238</v>
      </c>
      <c r="L160" s="156"/>
      <c r="M160" s="156"/>
      <c r="O160" s="156"/>
      <c r="P160" s="156"/>
      <c r="Q160">
        <f ca="1">IF($H$3=K160,YEAR(TODAY())-14,0)</f>
        <v>0</v>
      </c>
    </row>
    <row r="161" spans="11:17" ht="12.75" hidden="1">
      <c r="K161" t="s">
        <v>239</v>
      </c>
      <c r="L161" s="156"/>
      <c r="M161" s="156"/>
      <c r="O161" s="156"/>
      <c r="P161" s="156"/>
      <c r="Q161">
        <f ca="1">IF($H$3=K161,YEAR(TODAY())-16,0)</f>
        <v>0</v>
      </c>
    </row>
    <row r="162" spans="11:17" ht="12.75" hidden="1">
      <c r="K162" t="s">
        <v>240</v>
      </c>
      <c r="L162" s="156"/>
      <c r="M162" s="156"/>
      <c r="O162" s="156"/>
      <c r="P162" s="156"/>
      <c r="Q162">
        <f ca="1">IF($H$3=K162,YEAR(TODAY())-18,0)</f>
        <v>0</v>
      </c>
    </row>
    <row r="163" spans="11:17" ht="12.75" hidden="1">
      <c r="K163" t="s">
        <v>241</v>
      </c>
      <c r="L163" s="156"/>
      <c r="M163" s="156"/>
      <c r="O163" s="156"/>
      <c r="P163" s="156"/>
      <c r="Q163">
        <f ca="1">IF($H$3=K163,YEAR(TODAY())-14,0)</f>
        <v>2000</v>
      </c>
    </row>
    <row r="164" spans="11:17" ht="12.75" hidden="1">
      <c r="K164" t="s">
        <v>242</v>
      </c>
      <c r="L164" s="156"/>
      <c r="M164" s="156"/>
      <c r="O164" s="156"/>
      <c r="P164" s="156"/>
      <c r="Q164">
        <f ca="1">IF($H$3=K164,YEAR(TODAY())-16,0)</f>
        <v>0</v>
      </c>
    </row>
    <row r="165" spans="11:17" ht="12.75" hidden="1">
      <c r="K165" t="s">
        <v>243</v>
      </c>
      <c r="L165" s="156"/>
      <c r="M165" s="156"/>
      <c r="O165" s="156"/>
      <c r="P165" s="156"/>
      <c r="Q165">
        <f ca="1">IF($H$3=K165,YEAR(TODAY())-18,0)</f>
        <v>0</v>
      </c>
    </row>
    <row r="166" spans="11:16" ht="12.75" hidden="1">
      <c r="K166" t="s">
        <v>213</v>
      </c>
      <c r="L166" s="156"/>
      <c r="M166" s="156"/>
      <c r="N166">
        <f ca="1">IF($H$3=K166,YEAR(TODAY())-35,0)</f>
        <v>0</v>
      </c>
      <c r="O166" s="156"/>
      <c r="P166" s="156"/>
    </row>
    <row r="167" spans="11:16" ht="12.75" hidden="1">
      <c r="K167" t="s">
        <v>214</v>
      </c>
      <c r="L167" s="156"/>
      <c r="M167" s="156"/>
      <c r="N167">
        <f ca="1">IF($H$3=K167,YEAR(TODAY())-35,0)</f>
        <v>0</v>
      </c>
      <c r="O167" s="156"/>
      <c r="P167" s="156"/>
    </row>
    <row r="168" spans="11:16" ht="12.75" hidden="1">
      <c r="K168" t="s">
        <v>215</v>
      </c>
      <c r="L168" s="156"/>
      <c r="M168" s="156"/>
      <c r="N168">
        <f ca="1">IF($H$3=K168,YEAR(TODAY())-45,0)</f>
        <v>0</v>
      </c>
      <c r="O168" s="156"/>
      <c r="P168" s="156"/>
    </row>
    <row r="169" spans="11:16" ht="12.75" hidden="1">
      <c r="K169" t="s">
        <v>216</v>
      </c>
      <c r="L169" s="156"/>
      <c r="M169" s="156"/>
      <c r="N169">
        <f ca="1">IF($H$3=K169,YEAR(TODAY())-55,0)</f>
        <v>0</v>
      </c>
      <c r="O169" s="156"/>
      <c r="P169" s="156"/>
    </row>
    <row r="170" spans="11:16" ht="12.75" hidden="1">
      <c r="K170" t="s">
        <v>217</v>
      </c>
      <c r="L170" s="156"/>
      <c r="M170" s="156"/>
      <c r="N170">
        <f ca="1">IF($H$3=K170,YEAR(TODAY())-60,0)</f>
        <v>0</v>
      </c>
      <c r="O170" s="156"/>
      <c r="P170" s="156"/>
    </row>
    <row r="171" spans="12:16" ht="12.75" hidden="1">
      <c r="L171" s="156"/>
      <c r="M171" s="156"/>
      <c r="N171" s="34"/>
      <c r="O171" s="156"/>
      <c r="P171" s="156"/>
    </row>
    <row r="172" spans="12:17" ht="12.75" hidden="1">
      <c r="L172" s="156"/>
      <c r="M172" s="156"/>
      <c r="N172">
        <f>SUM(N160:N171)</f>
        <v>0</v>
      </c>
      <c r="O172"/>
      <c r="P172"/>
      <c r="Q172">
        <f>IF(K173&lt;5,SUM(Q160:Q171)-1,SUM(Q160:Q171))</f>
        <v>1999</v>
      </c>
    </row>
    <row r="173" spans="11:17" ht="12.75" hidden="1">
      <c r="K173">
        <f>MONTH(K4)</f>
        <v>2</v>
      </c>
      <c r="L173" s="156">
        <f>YEAR(K4)</f>
        <v>2014</v>
      </c>
      <c r="M173" s="156"/>
      <c r="N173" t="str">
        <f>IF(K173&gt;5,"31.12.","30.06.")</f>
        <v>30.06.</v>
      </c>
      <c r="O173" s="156"/>
      <c r="P173" s="156"/>
      <c r="Q173" t="str">
        <f>IF(K173&gt;5,"01.01.","01.07.")</f>
        <v>01.07.</v>
      </c>
    </row>
    <row r="174" ht="12.75" hidden="1"/>
    <row r="175" ht="12.75" hidden="1"/>
    <row r="176" ht="13.5" thickTop="1"/>
  </sheetData>
  <sheetProtection sheet="1" objects="1" scenarios="1" selectLockedCells="1"/>
  <protectedRanges>
    <protectedRange sqref="D2 H3 F4 K4 N3:O3 I5 C9:Q10 C144:S145" name="Bereich1"/>
  </protectedRanges>
  <mergeCells count="37">
    <mergeCell ref="D1:P1"/>
    <mergeCell ref="I5:M5"/>
    <mergeCell ref="F4:H4"/>
    <mergeCell ref="M4:N4"/>
    <mergeCell ref="E3:G3"/>
    <mergeCell ref="O3:P3"/>
    <mergeCell ref="A5:H5"/>
    <mergeCell ref="F145:H145"/>
    <mergeCell ref="I143:K143"/>
    <mergeCell ref="AD10:AF10"/>
    <mergeCell ref="L10:N10"/>
    <mergeCell ref="I10:K10"/>
    <mergeCell ref="D2:P2"/>
    <mergeCell ref="L8:N8"/>
    <mergeCell ref="L9:N9"/>
    <mergeCell ref="F8:H8"/>
    <mergeCell ref="I9:K9"/>
    <mergeCell ref="I145:K145"/>
    <mergeCell ref="F10:H10"/>
    <mergeCell ref="C145:E145"/>
    <mergeCell ref="A146:A156"/>
    <mergeCell ref="A11:A22"/>
    <mergeCell ref="C143:E143"/>
    <mergeCell ref="F143:H143"/>
    <mergeCell ref="A143:A145"/>
    <mergeCell ref="C144:E144"/>
    <mergeCell ref="F144:H144"/>
    <mergeCell ref="A8:A10"/>
    <mergeCell ref="A6:Q6"/>
    <mergeCell ref="A7:Q7"/>
    <mergeCell ref="C10:E10"/>
    <mergeCell ref="C8:E8"/>
    <mergeCell ref="I144:K144"/>
    <mergeCell ref="C9:E9"/>
    <mergeCell ref="A142:Q142"/>
    <mergeCell ref="I8:K8"/>
    <mergeCell ref="F9:H9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42"/>
  <sheetViews>
    <sheetView tabSelected="1" zoomScalePageLayoutView="0" workbookViewId="0" topLeftCell="B1">
      <selection activeCell="P40" sqref="P40"/>
    </sheetView>
  </sheetViews>
  <sheetFormatPr defaultColWidth="11.421875" defaultRowHeight="12.75"/>
  <cols>
    <col min="1" max="1" width="5.7109375" style="29" hidden="1" customWidth="1"/>
    <col min="2" max="2" width="4.57421875" style="1" customWidth="1"/>
    <col min="3" max="3" width="7.28125" style="1" bestFit="1" customWidth="1"/>
    <col min="4" max="4" width="7.28125" style="1" customWidth="1"/>
    <col min="5" max="5" width="5.28125" style="33" customWidth="1"/>
    <col min="6" max="6" width="21.7109375" style="1" customWidth="1"/>
    <col min="7" max="7" width="0.85546875" style="1" customWidth="1"/>
    <col min="8" max="8" width="10.28125" style="1" customWidth="1"/>
    <col min="9" max="9" width="2.7109375" style="1" customWidth="1"/>
    <col min="10" max="10" width="10.28125" style="1" customWidth="1"/>
    <col min="11" max="11" width="4.28125" style="1" customWidth="1"/>
    <col min="12" max="12" width="1.7109375" style="1" customWidth="1"/>
    <col min="13" max="14" width="4.28125" style="1" customWidth="1"/>
    <col min="15" max="15" width="1.7109375" style="1" customWidth="1"/>
    <col min="16" max="17" width="4.28125" style="1" customWidth="1"/>
    <col min="18" max="18" width="1.7109375" style="1" customWidth="1"/>
    <col min="19" max="19" width="4.28125" style="1" customWidth="1"/>
    <col min="20" max="20" width="21.7109375" style="1" customWidth="1"/>
    <col min="21" max="21" width="10.28125" style="1" customWidth="1"/>
    <col min="22" max="22" width="2.7109375" style="29" customWidth="1"/>
    <col min="23" max="23" width="10.28125" style="29" customWidth="1"/>
    <col min="24" max="24" width="25.8515625" style="17" hidden="1" customWidth="1"/>
    <col min="25" max="25" width="11.421875" style="17" hidden="1" customWidth="1"/>
    <col min="26" max="31" width="4.8515625" style="58" hidden="1" customWidth="1"/>
    <col min="32" max="32" width="5.7109375" style="33" customWidth="1"/>
    <col min="33" max="33" width="1.7109375" style="33" customWidth="1"/>
    <col min="34" max="35" width="5.7109375" style="33" customWidth="1"/>
    <col min="36" max="36" width="1.7109375" style="33" customWidth="1"/>
    <col min="37" max="38" width="5.7109375" style="33" customWidth="1"/>
    <col min="39" max="39" width="1.7109375" style="33" customWidth="1"/>
    <col min="40" max="40" width="5.7109375" style="33" customWidth="1"/>
    <col min="41" max="16384" width="11.421875" style="1" customWidth="1"/>
  </cols>
  <sheetData>
    <row r="1" spans="1:40" s="298" customFormat="1" ht="22.5" customHeight="1">
      <c r="A1" s="261"/>
      <c r="E1" s="771" t="s">
        <v>112</v>
      </c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203"/>
      <c r="V1" s="299"/>
      <c r="W1" s="299"/>
      <c r="X1" s="300"/>
      <c r="Y1" s="300"/>
      <c r="Z1" s="301"/>
      <c r="AA1" s="301"/>
      <c r="AB1" s="301"/>
      <c r="AC1" s="301"/>
      <c r="AD1" s="301"/>
      <c r="AE1" s="301"/>
      <c r="AF1" s="302"/>
      <c r="AG1" s="302"/>
      <c r="AH1" s="302"/>
      <c r="AI1" s="302"/>
      <c r="AJ1" s="302"/>
      <c r="AK1" s="302"/>
      <c r="AL1" s="302"/>
      <c r="AM1" s="302"/>
      <c r="AN1" s="302"/>
    </row>
    <row r="2" spans="1:40" s="298" customFormat="1" ht="6.75" customHeight="1">
      <c r="A2" s="261"/>
      <c r="E2" s="302"/>
      <c r="V2" s="299"/>
      <c r="W2" s="299"/>
      <c r="X2" s="300"/>
      <c r="Y2" s="300"/>
      <c r="Z2" s="301"/>
      <c r="AA2" s="301"/>
      <c r="AB2" s="301"/>
      <c r="AC2" s="301"/>
      <c r="AD2" s="301"/>
      <c r="AE2" s="301"/>
      <c r="AF2" s="302"/>
      <c r="AG2" s="302"/>
      <c r="AH2" s="302"/>
      <c r="AI2" s="302"/>
      <c r="AJ2" s="302"/>
      <c r="AK2" s="302"/>
      <c r="AL2" s="302"/>
      <c r="AM2" s="302"/>
      <c r="AN2" s="302"/>
    </row>
    <row r="3" spans="1:40" s="298" customFormat="1" ht="18" customHeight="1">
      <c r="A3" s="261"/>
      <c r="C3" s="203"/>
      <c r="D3" s="203"/>
      <c r="E3" s="303"/>
      <c r="F3" s="777" t="str">
        <f>IF(Mannschaften!D2="","",Mannschaften!D2)</f>
        <v>Ostdeutsche Meisterschaft der männl. Jugend 14 Halle 13/14</v>
      </c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203"/>
      <c r="W3" s="203"/>
      <c r="X3" s="300"/>
      <c r="Y3" s="300"/>
      <c r="Z3" s="301"/>
      <c r="AA3" s="301"/>
      <c r="AB3" s="301"/>
      <c r="AC3" s="301"/>
      <c r="AD3" s="301"/>
      <c r="AE3" s="301"/>
      <c r="AF3" s="302"/>
      <c r="AG3" s="302"/>
      <c r="AH3" s="302"/>
      <c r="AI3" s="302"/>
      <c r="AJ3" s="302"/>
      <c r="AK3" s="302"/>
      <c r="AL3" s="302"/>
      <c r="AM3" s="302"/>
      <c r="AN3" s="302"/>
    </row>
    <row r="4" spans="1:40" s="203" customFormat="1" ht="17.25" customHeight="1">
      <c r="A4" s="260"/>
      <c r="B4" s="781" t="str">
        <f>IF(Mannschaften!F4="","",Mannschaften!F4)</f>
        <v>Berlin</v>
      </c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260"/>
      <c r="Y4" s="260"/>
      <c r="Z4" s="304"/>
      <c r="AA4" s="304"/>
      <c r="AB4" s="304"/>
      <c r="AC4" s="304"/>
      <c r="AD4" s="304"/>
      <c r="AE4" s="304"/>
      <c r="AF4" s="305"/>
      <c r="AG4" s="305"/>
      <c r="AH4" s="305"/>
      <c r="AI4" s="305"/>
      <c r="AJ4" s="305"/>
      <c r="AK4" s="305"/>
      <c r="AL4" s="305"/>
      <c r="AM4" s="305"/>
      <c r="AN4" s="305"/>
    </row>
    <row r="5" spans="1:40" s="298" customFormat="1" ht="16.5" customHeight="1">
      <c r="A5" s="261"/>
      <c r="B5" s="742" t="str">
        <f>Mannschaften!A5</f>
        <v>Ausrichter:     </v>
      </c>
      <c r="C5" s="742"/>
      <c r="D5" s="742"/>
      <c r="E5" s="742"/>
      <c r="F5" s="742"/>
      <c r="G5" s="742"/>
      <c r="H5" s="742"/>
      <c r="I5" s="742"/>
      <c r="J5" s="742"/>
      <c r="K5" s="772" t="str">
        <f>IF(Mannschaften!I5="","",Mannschaften!I5)</f>
        <v>Berliner Turnerschaft</v>
      </c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300"/>
      <c r="Y5" s="300"/>
      <c r="Z5" s="301"/>
      <c r="AA5" s="301"/>
      <c r="AB5" s="301"/>
      <c r="AC5" s="301"/>
      <c r="AD5" s="301"/>
      <c r="AE5" s="301"/>
      <c r="AF5" s="302"/>
      <c r="AG5" s="302"/>
      <c r="AH5" s="302"/>
      <c r="AI5" s="302"/>
      <c r="AJ5" s="302"/>
      <c r="AK5" s="302"/>
      <c r="AL5" s="302"/>
      <c r="AM5" s="302"/>
      <c r="AN5" s="302"/>
    </row>
    <row r="6" spans="1:40" s="298" customFormat="1" ht="3.75" customHeight="1">
      <c r="A6" s="261"/>
      <c r="B6" s="306"/>
      <c r="C6" s="306"/>
      <c r="D6" s="306"/>
      <c r="E6" s="307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8"/>
      <c r="W6" s="308"/>
      <c r="X6" s="300"/>
      <c r="Y6" s="300"/>
      <c r="Z6" s="301"/>
      <c r="AA6" s="301"/>
      <c r="AB6" s="301"/>
      <c r="AC6" s="301"/>
      <c r="AD6" s="301"/>
      <c r="AE6" s="301"/>
      <c r="AF6" s="302"/>
      <c r="AG6" s="302"/>
      <c r="AH6" s="302"/>
      <c r="AI6" s="302"/>
      <c r="AJ6" s="302"/>
      <c r="AK6" s="302"/>
      <c r="AL6" s="302"/>
      <c r="AM6" s="302"/>
      <c r="AN6" s="302"/>
    </row>
    <row r="7" spans="1:40" s="298" customFormat="1" ht="16.5" customHeight="1">
      <c r="A7" s="261"/>
      <c r="B7" s="309"/>
      <c r="C7" s="310"/>
      <c r="D7" s="310"/>
      <c r="E7" s="311"/>
      <c r="F7" s="310"/>
      <c r="G7" s="310"/>
      <c r="H7" s="782" t="s">
        <v>96</v>
      </c>
      <c r="I7" s="782"/>
      <c r="J7" s="782"/>
      <c r="K7" s="783">
        <f>Mannschaften!K4</f>
        <v>41692</v>
      </c>
      <c r="L7" s="783"/>
      <c r="M7" s="783"/>
      <c r="N7" s="783"/>
      <c r="O7" s="783"/>
      <c r="P7" s="783"/>
      <c r="Q7" s="783"/>
      <c r="R7" s="783"/>
      <c r="S7" s="783"/>
      <c r="T7" s="783"/>
      <c r="U7" s="310"/>
      <c r="V7" s="310"/>
      <c r="W7" s="310"/>
      <c r="X7" s="300"/>
      <c r="Y7" s="300"/>
      <c r="Z7" s="301"/>
      <c r="AA7" s="301"/>
      <c r="AB7" s="301"/>
      <c r="AC7" s="301"/>
      <c r="AD7" s="301"/>
      <c r="AE7" s="301"/>
      <c r="AF7" s="302"/>
      <c r="AG7" s="302"/>
      <c r="AH7" s="302"/>
      <c r="AI7" s="302"/>
      <c r="AJ7" s="302"/>
      <c r="AK7" s="302"/>
      <c r="AL7" s="302"/>
      <c r="AM7" s="302"/>
      <c r="AN7" s="302"/>
    </row>
    <row r="8" spans="1:40" s="298" customFormat="1" ht="6" customHeight="1" thickBot="1">
      <c r="A8" s="261"/>
      <c r="B8" s="309"/>
      <c r="C8" s="309"/>
      <c r="D8" s="309"/>
      <c r="E8" s="312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8"/>
      <c r="W8" s="308"/>
      <c r="X8" s="300"/>
      <c r="Y8" s="300"/>
      <c r="Z8" s="301"/>
      <c r="AA8" s="301"/>
      <c r="AB8" s="301"/>
      <c r="AC8" s="301"/>
      <c r="AD8" s="301"/>
      <c r="AE8" s="301"/>
      <c r="AF8" s="302"/>
      <c r="AG8" s="302"/>
      <c r="AH8" s="302"/>
      <c r="AI8" s="302"/>
      <c r="AJ8" s="302"/>
      <c r="AK8" s="302"/>
      <c r="AL8" s="302"/>
      <c r="AM8" s="302"/>
      <c r="AN8" s="302"/>
    </row>
    <row r="9" spans="1:40" s="298" customFormat="1" ht="15" customHeight="1" thickBot="1">
      <c r="A9" s="261"/>
      <c r="E9" s="302"/>
      <c r="F9" s="784" t="s">
        <v>5</v>
      </c>
      <c r="G9" s="785"/>
      <c r="H9" s="786"/>
      <c r="I9" s="313"/>
      <c r="J9" s="782" t="str">
        <f>Mannschaften!H3</f>
        <v>M U14</v>
      </c>
      <c r="K9" s="782"/>
      <c r="L9" s="782"/>
      <c r="M9" s="782"/>
      <c r="N9" s="782"/>
      <c r="O9" s="782"/>
      <c r="P9" s="782"/>
      <c r="Q9" s="782"/>
      <c r="R9" s="782"/>
      <c r="S9" s="313"/>
      <c r="T9" s="773" t="s">
        <v>6</v>
      </c>
      <c r="U9" s="774"/>
      <c r="V9" s="775"/>
      <c r="W9" s="299"/>
      <c r="X9" s="300"/>
      <c r="Y9" s="300"/>
      <c r="Z9" s="301"/>
      <c r="AA9" s="301"/>
      <c r="AB9" s="301"/>
      <c r="AC9" s="301"/>
      <c r="AD9" s="301"/>
      <c r="AE9" s="301"/>
      <c r="AF9" s="302"/>
      <c r="AG9" s="302"/>
      <c r="AH9" s="302"/>
      <c r="AI9" s="302"/>
      <c r="AJ9" s="302"/>
      <c r="AK9" s="302"/>
      <c r="AL9" s="302"/>
      <c r="AM9" s="302"/>
      <c r="AN9" s="302"/>
    </row>
    <row r="10" spans="1:40" s="298" customFormat="1" ht="15" customHeight="1">
      <c r="A10" s="261"/>
      <c r="E10" s="302"/>
      <c r="F10" s="314" t="str">
        <f>Mannschaften!C10</f>
        <v>VfL Kellinghusen</v>
      </c>
      <c r="G10" s="315" t="str">
        <f>IF(Mannschaften!C9="","",Mannschaften!C9)</f>
        <v>1. S-H</v>
      </c>
      <c r="H10" s="316"/>
      <c r="I10" s="787">
        <f>IF('Gruppe A'!AF23=0,"",IF('Gruppe A'!AF23=10,"","Achtung!  Punktgleichheit in Gruppe A"))</f>
      </c>
      <c r="J10" s="788"/>
      <c r="K10" s="788"/>
      <c r="L10" s="788"/>
      <c r="M10" s="788"/>
      <c r="N10" s="788"/>
      <c r="O10" s="788"/>
      <c r="P10" s="788"/>
      <c r="Q10" s="788"/>
      <c r="R10" s="788"/>
      <c r="S10" s="789"/>
      <c r="T10" s="314" t="str">
        <f>Mannschaften!C145</f>
        <v>TSV LoLa</v>
      </c>
      <c r="U10" s="315" t="str">
        <f>IF(Mannschaften!C144="","",Mannschaften!C144)</f>
        <v>2. S-H</v>
      </c>
      <c r="V10" s="317"/>
      <c r="W10" s="299"/>
      <c r="X10" s="261"/>
      <c r="Y10" s="300"/>
      <c r="Z10" s="301"/>
      <c r="AA10" s="301"/>
      <c r="AB10" s="301"/>
      <c r="AC10" s="301"/>
      <c r="AD10" s="301"/>
      <c r="AE10" s="301"/>
      <c r="AF10" s="302"/>
      <c r="AG10" s="302"/>
      <c r="AH10" s="302"/>
      <c r="AI10" s="302"/>
      <c r="AJ10" s="302"/>
      <c r="AK10" s="302"/>
      <c r="AL10" s="302"/>
      <c r="AM10" s="302"/>
      <c r="AN10" s="302"/>
    </row>
    <row r="11" spans="1:40" s="298" customFormat="1" ht="15" customHeight="1">
      <c r="A11" s="261"/>
      <c r="C11" s="318"/>
      <c r="E11" s="302"/>
      <c r="F11" s="319" t="str">
        <f>Mannschaften!F10</f>
        <v>Großenasper SV</v>
      </c>
      <c r="G11" s="320" t="str">
        <f>IF(Mannschaften!F9="","",Mannschaften!F9)</f>
        <v>3. S-H</v>
      </c>
      <c r="H11" s="321"/>
      <c r="I11" s="787">
        <f>IF('Gruppe A'!AF23=0,"",IF('Gruppe A'!AF23=10,"","Bitte Platzierung selbst ermitteln"))</f>
      </c>
      <c r="J11" s="788"/>
      <c r="K11" s="788"/>
      <c r="L11" s="788"/>
      <c r="M11" s="788"/>
      <c r="N11" s="788"/>
      <c r="O11" s="788"/>
      <c r="P11" s="788"/>
      <c r="Q11" s="788"/>
      <c r="R11" s="788"/>
      <c r="S11" s="789"/>
      <c r="T11" s="319" t="str">
        <f>Mannschaften!F145</f>
        <v>Güstrower SC 09</v>
      </c>
      <c r="U11" s="320" t="str">
        <f>IF(Mannschaften!F144="","",Mannschaften!F144)</f>
        <v>1. MVP</v>
      </c>
      <c r="V11" s="322"/>
      <c r="W11" s="299"/>
      <c r="X11" s="300"/>
      <c r="Y11" s="300"/>
      <c r="Z11" s="301"/>
      <c r="AA11" s="301"/>
      <c r="AB11" s="301"/>
      <c r="AC11" s="301"/>
      <c r="AD11" s="301"/>
      <c r="AE11" s="301"/>
      <c r="AF11" s="302"/>
      <c r="AG11" s="302"/>
      <c r="AH11" s="302"/>
      <c r="AI11" s="302"/>
      <c r="AJ11" s="302"/>
      <c r="AK11" s="302"/>
      <c r="AL11" s="302"/>
      <c r="AM11" s="302"/>
      <c r="AN11" s="302"/>
    </row>
    <row r="12" spans="1:40" s="298" customFormat="1" ht="15" customHeight="1" thickBot="1">
      <c r="A12" s="261"/>
      <c r="E12" s="302"/>
      <c r="F12" s="319" t="str">
        <f>Mannschaften!I10</f>
        <v>SG Bademeusel</v>
      </c>
      <c r="G12" s="320" t="str">
        <f>IF(Mannschaften!I9="","",Mannschaften!I9)</f>
        <v>1. Brdb.</v>
      </c>
      <c r="H12" s="321"/>
      <c r="I12" s="793"/>
      <c r="J12" s="794"/>
      <c r="K12" s="794"/>
      <c r="L12" s="794"/>
      <c r="M12" s="791"/>
      <c r="N12" s="792"/>
      <c r="T12" s="323" t="str">
        <f>Mannschaften!I145</f>
        <v>SG Stern Kaulsdorf</v>
      </c>
      <c r="U12" s="324" t="str">
        <f>IF(Mannschaften!I144="","",Mannschaften!I144)</f>
        <v>1. Berlin</v>
      </c>
      <c r="V12" s="539"/>
      <c r="W12" s="299"/>
      <c r="X12" s="300"/>
      <c r="Y12" s="300"/>
      <c r="Z12" s="301"/>
      <c r="AA12" s="301"/>
      <c r="AB12" s="301"/>
      <c r="AC12" s="301"/>
      <c r="AD12" s="301"/>
      <c r="AE12" s="301"/>
      <c r="AF12" s="302"/>
      <c r="AG12" s="302"/>
      <c r="AH12" s="302"/>
      <c r="AI12" s="302"/>
      <c r="AJ12" s="302"/>
      <c r="AK12" s="302"/>
      <c r="AL12" s="302"/>
      <c r="AM12" s="302"/>
      <c r="AN12" s="302"/>
    </row>
    <row r="13" spans="1:40" s="298" customFormat="1" ht="15" customHeight="1" thickBot="1">
      <c r="A13" s="261"/>
      <c r="E13" s="302"/>
      <c r="F13" s="323" t="str">
        <f>Mannschaften!L10</f>
        <v>Berliner Turnerschaft</v>
      </c>
      <c r="G13" s="324" t="str">
        <f>IF(Mannschaften!L9="","",Mannschaften!L9)</f>
        <v>2. Berlin</v>
      </c>
      <c r="H13" s="568"/>
      <c r="I13" s="787"/>
      <c r="J13" s="788"/>
      <c r="K13" s="788"/>
      <c r="L13" s="788"/>
      <c r="M13" s="788"/>
      <c r="N13" s="788"/>
      <c r="O13" s="788"/>
      <c r="P13" s="788"/>
      <c r="Q13" s="788"/>
      <c r="R13" s="788"/>
      <c r="S13" s="790"/>
      <c r="T13" s="576"/>
      <c r="U13" s="657"/>
      <c r="V13" s="658"/>
      <c r="W13" s="299"/>
      <c r="X13" s="300"/>
      <c r="Y13" s="300"/>
      <c r="Z13" s="301"/>
      <c r="AA13" s="301"/>
      <c r="AB13" s="301"/>
      <c r="AC13" s="301"/>
      <c r="AD13" s="301"/>
      <c r="AE13" s="301"/>
      <c r="AF13" s="302"/>
      <c r="AG13" s="302"/>
      <c r="AH13" s="302"/>
      <c r="AI13" s="302"/>
      <c r="AJ13" s="302"/>
      <c r="AK13" s="302"/>
      <c r="AL13" s="302"/>
      <c r="AM13" s="302"/>
      <c r="AN13" s="302"/>
    </row>
    <row r="14" spans="1:40" s="298" customFormat="1" ht="15" customHeight="1" thickBot="1">
      <c r="A14" s="261"/>
      <c r="E14" s="302"/>
      <c r="F14"/>
      <c r="G14"/>
      <c r="H14" s="4"/>
      <c r="I14" s="790"/>
      <c r="J14" s="790"/>
      <c r="K14" s="790"/>
      <c r="L14" s="790"/>
      <c r="M14" s="790"/>
      <c r="N14" s="790"/>
      <c r="O14" s="790"/>
      <c r="P14" s="790"/>
      <c r="Q14" s="790"/>
      <c r="R14" s="790"/>
      <c r="S14" s="790"/>
      <c r="T14" s="536"/>
      <c r="U14" s="537"/>
      <c r="V14" s="538"/>
      <c r="W14" s="299"/>
      <c r="X14" s="300"/>
      <c r="Y14" s="300"/>
      <c r="Z14" s="301"/>
      <c r="AA14" s="301"/>
      <c r="AB14" s="301"/>
      <c r="AC14" s="301"/>
      <c r="AD14" s="301"/>
      <c r="AE14" s="301"/>
      <c r="AF14" s="302"/>
      <c r="AG14" s="302"/>
      <c r="AH14" s="302"/>
      <c r="AI14" s="302"/>
      <c r="AJ14" s="302"/>
      <c r="AK14" s="302"/>
      <c r="AL14" s="302"/>
      <c r="AM14" s="302"/>
      <c r="AN14" s="302"/>
    </row>
    <row r="15" spans="1:40" s="298" customFormat="1" ht="0.75" customHeight="1" thickBot="1">
      <c r="A15" s="261"/>
      <c r="B15" s="776"/>
      <c r="C15" s="776"/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76"/>
      <c r="U15" s="776"/>
      <c r="V15" s="776"/>
      <c r="W15" s="776"/>
      <c r="X15" s="300"/>
      <c r="Y15" s="300"/>
      <c r="Z15" s="301"/>
      <c r="AA15" s="301"/>
      <c r="AB15" s="301"/>
      <c r="AC15" s="301"/>
      <c r="AD15" s="301"/>
      <c r="AE15" s="301"/>
      <c r="AF15" s="302"/>
      <c r="AG15" s="302"/>
      <c r="AH15" s="302"/>
      <c r="AI15" s="302"/>
      <c r="AJ15" s="302"/>
      <c r="AK15" s="302"/>
      <c r="AL15" s="302"/>
      <c r="AM15" s="302"/>
      <c r="AN15" s="302"/>
    </row>
    <row r="16" spans="1:40" s="300" customFormat="1" ht="18" customHeight="1" hidden="1" thickBot="1">
      <c r="A16" s="261"/>
      <c r="B16" s="260">
        <v>2</v>
      </c>
      <c r="C16" s="260">
        <v>3</v>
      </c>
      <c r="D16" s="260">
        <v>4</v>
      </c>
      <c r="E16" s="260">
        <v>5</v>
      </c>
      <c r="F16" s="260">
        <v>6</v>
      </c>
      <c r="G16" s="260">
        <v>7</v>
      </c>
      <c r="H16" s="260">
        <v>8</v>
      </c>
      <c r="I16" s="260">
        <v>9</v>
      </c>
      <c r="J16" s="260">
        <v>10</v>
      </c>
      <c r="K16" s="260">
        <v>11</v>
      </c>
      <c r="L16" s="260"/>
      <c r="M16" s="260">
        <v>13</v>
      </c>
      <c r="N16" s="260">
        <v>14</v>
      </c>
      <c r="O16" s="260"/>
      <c r="P16" s="260">
        <v>16</v>
      </c>
      <c r="Q16" s="260">
        <v>17</v>
      </c>
      <c r="R16" s="260"/>
      <c r="S16" s="260">
        <v>19</v>
      </c>
      <c r="T16" s="260">
        <v>20</v>
      </c>
      <c r="U16" s="260">
        <v>21</v>
      </c>
      <c r="V16" s="260">
        <v>22</v>
      </c>
      <c r="W16" s="260">
        <v>23</v>
      </c>
      <c r="X16" s="260">
        <v>24</v>
      </c>
      <c r="Y16" s="260">
        <v>25</v>
      </c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</row>
    <row r="17" spans="1:40" s="298" customFormat="1" ht="17.25" customHeight="1" thickBot="1">
      <c r="A17" s="261"/>
      <c r="B17" s="759" t="s">
        <v>0</v>
      </c>
      <c r="C17" s="759" t="s">
        <v>1</v>
      </c>
      <c r="D17" s="759" t="s">
        <v>130</v>
      </c>
      <c r="E17" s="757" t="s">
        <v>128</v>
      </c>
      <c r="F17" s="765" t="s">
        <v>2</v>
      </c>
      <c r="G17" s="750" t="s">
        <v>7</v>
      </c>
      <c r="H17" s="750" t="s">
        <v>3</v>
      </c>
      <c r="I17" s="750"/>
      <c r="J17" s="767"/>
      <c r="K17" s="773" t="s">
        <v>8</v>
      </c>
      <c r="L17" s="774"/>
      <c r="M17" s="774"/>
      <c r="N17" s="774"/>
      <c r="O17" s="774"/>
      <c r="P17" s="774"/>
      <c r="Q17" s="774"/>
      <c r="R17" s="774"/>
      <c r="S17" s="775"/>
      <c r="T17" s="325" t="s">
        <v>133</v>
      </c>
      <c r="U17" s="765" t="s">
        <v>61</v>
      </c>
      <c r="V17" s="750"/>
      <c r="W17" s="767"/>
      <c r="X17" s="300"/>
      <c r="Y17" s="300"/>
      <c r="Z17" s="752" t="s">
        <v>146</v>
      </c>
      <c r="AA17" s="752" t="s">
        <v>147</v>
      </c>
      <c r="AB17" s="752" t="s">
        <v>148</v>
      </c>
      <c r="AC17" s="752" t="s">
        <v>149</v>
      </c>
      <c r="AD17" s="752" t="s">
        <v>150</v>
      </c>
      <c r="AE17" s="752" t="s">
        <v>151</v>
      </c>
      <c r="AF17" s="744" t="s">
        <v>36</v>
      </c>
      <c r="AG17" s="745"/>
      <c r="AH17" s="746"/>
      <c r="AI17" s="744" t="s">
        <v>123</v>
      </c>
      <c r="AJ17" s="745"/>
      <c r="AK17" s="746"/>
      <c r="AL17" s="744" t="s">
        <v>35</v>
      </c>
      <c r="AM17" s="745"/>
      <c r="AN17" s="746"/>
    </row>
    <row r="18" spans="1:40" s="298" customFormat="1" ht="17.25" customHeight="1" thickBot="1">
      <c r="A18" s="261"/>
      <c r="B18" s="760"/>
      <c r="C18" s="760"/>
      <c r="D18" s="760"/>
      <c r="E18" s="758"/>
      <c r="F18" s="766"/>
      <c r="G18" s="751"/>
      <c r="H18" s="751"/>
      <c r="I18" s="751"/>
      <c r="J18" s="768"/>
      <c r="K18" s="754" t="s">
        <v>129</v>
      </c>
      <c r="L18" s="755"/>
      <c r="M18" s="756"/>
      <c r="N18" s="754" t="s">
        <v>121</v>
      </c>
      <c r="O18" s="755"/>
      <c r="P18" s="756"/>
      <c r="Q18" s="754" t="s">
        <v>122</v>
      </c>
      <c r="R18" s="755"/>
      <c r="S18" s="756"/>
      <c r="T18" s="326" t="s">
        <v>4</v>
      </c>
      <c r="U18" s="766"/>
      <c r="V18" s="751"/>
      <c r="W18" s="768"/>
      <c r="X18" s="300"/>
      <c r="Y18" s="300"/>
      <c r="Z18" s="753"/>
      <c r="AA18" s="753"/>
      <c r="AB18" s="753"/>
      <c r="AC18" s="753"/>
      <c r="AD18" s="753"/>
      <c r="AE18" s="753"/>
      <c r="AF18" s="747"/>
      <c r="AG18" s="748"/>
      <c r="AH18" s="749"/>
      <c r="AI18" s="747"/>
      <c r="AJ18" s="748"/>
      <c r="AK18" s="749"/>
      <c r="AL18" s="747"/>
      <c r="AM18" s="748"/>
      <c r="AN18" s="749"/>
    </row>
    <row r="19" spans="1:40" s="298" customFormat="1" ht="19.5" customHeight="1" thickBot="1">
      <c r="A19" s="261"/>
      <c r="B19" s="515"/>
      <c r="C19" s="521">
        <v>0.53125</v>
      </c>
      <c r="D19" s="762" t="s">
        <v>234</v>
      </c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764"/>
      <c r="X19" s="516"/>
      <c r="Y19" s="516"/>
      <c r="Z19" s="517"/>
      <c r="AA19" s="517"/>
      <c r="AB19" s="517"/>
      <c r="AC19" s="517"/>
      <c r="AD19" s="517"/>
      <c r="AE19" s="517"/>
      <c r="AF19" s="518"/>
      <c r="AG19" s="519"/>
      <c r="AH19" s="520"/>
      <c r="AI19" s="518"/>
      <c r="AJ19" s="519"/>
      <c r="AK19" s="520"/>
      <c r="AL19" s="518"/>
      <c r="AM19" s="519"/>
      <c r="AN19" s="520"/>
    </row>
    <row r="20" spans="1:43" s="336" customFormat="1" ht="17.25" customHeight="1" thickBot="1">
      <c r="A20" s="261">
        <f>D20</f>
        <v>1</v>
      </c>
      <c r="B20" s="452">
        <v>1</v>
      </c>
      <c r="C20" s="499">
        <v>0.5416666666666666</v>
      </c>
      <c r="D20" s="453">
        <v>1</v>
      </c>
      <c r="E20" s="507">
        <v>1</v>
      </c>
      <c r="F20" s="454" t="str">
        <f>F10</f>
        <v>VfL Kellinghusen</v>
      </c>
      <c r="G20" s="153" t="s">
        <v>7</v>
      </c>
      <c r="H20" s="778" t="str">
        <f>F11</f>
        <v>Großenasper SV</v>
      </c>
      <c r="I20" s="779"/>
      <c r="J20" s="779"/>
      <c r="K20" s="500">
        <v>11</v>
      </c>
      <c r="L20" s="501" t="s">
        <v>7</v>
      </c>
      <c r="M20" s="502">
        <v>5</v>
      </c>
      <c r="N20" s="500">
        <v>11</v>
      </c>
      <c r="O20" s="501" t="s">
        <v>7</v>
      </c>
      <c r="P20" s="502">
        <v>3</v>
      </c>
      <c r="Q20" s="500"/>
      <c r="R20" s="501" t="s">
        <v>7</v>
      </c>
      <c r="S20" s="502"/>
      <c r="T20" s="455" t="str">
        <f>T10</f>
        <v>TSV LoLa</v>
      </c>
      <c r="U20" s="761" t="s">
        <v>663</v>
      </c>
      <c r="V20" s="761"/>
      <c r="W20" s="761"/>
      <c r="X20" s="456" t="s">
        <v>97</v>
      </c>
      <c r="Y20" s="457">
        <f aca="true" t="shared" si="0" ref="Y20:Y28">$K$7</f>
        <v>41692</v>
      </c>
      <c r="Z20" s="458">
        <f>IF(M20="","",IF(K20&gt;M20,1,0))</f>
        <v>1</v>
      </c>
      <c r="AA20" s="458">
        <f>IF(P20="","",IF(N20&gt;P20,1,0))</f>
        <v>1</v>
      </c>
      <c r="AB20" s="458">
        <f>IF(S20="","",IF(Q20&gt;S20,1,0))</f>
      </c>
      <c r="AC20" s="458">
        <f>IF(Z20="","",IF(Z20=0,1,0))</f>
        <v>0</v>
      </c>
      <c r="AD20" s="458">
        <f>IF(AA20="","",IF(AA20=0,1,0))</f>
        <v>0</v>
      </c>
      <c r="AE20" s="458">
        <f>IF(AB20="","",IF(AB20=0,1,0))</f>
      </c>
      <c r="AF20" s="327">
        <f>IF(P20="",0,IF(Q20=0,K20+N20,K20+N20+Q20))</f>
        <v>22</v>
      </c>
      <c r="AG20" s="328" t="s">
        <v>7</v>
      </c>
      <c r="AH20" s="329">
        <f>IF(P20="",0,IF(S20="",M20+P20,M20+P20+S20))</f>
        <v>8</v>
      </c>
      <c r="AI20" s="327">
        <f>IF(AA20="",0,IF(AB20="",Z20+AA20,Z20+AA20+AB20))</f>
        <v>2</v>
      </c>
      <c r="AJ20" s="328" t="s">
        <v>7</v>
      </c>
      <c r="AK20" s="329">
        <f>IF(AA20="",0,IF(AE20="",AC20+AD20,AC20+AD20+AE20))</f>
        <v>0</v>
      </c>
      <c r="AL20" s="327">
        <f>IF(AI20=2,2,0)</f>
        <v>2</v>
      </c>
      <c r="AM20" s="328" t="s">
        <v>7</v>
      </c>
      <c r="AN20" s="329">
        <f>IF(AK20=2,2,0)</f>
        <v>0</v>
      </c>
      <c r="AO20" s="459" t="s">
        <v>109</v>
      </c>
      <c r="AP20" s="459"/>
      <c r="AQ20" s="299" t="s">
        <v>110</v>
      </c>
    </row>
    <row r="21" spans="1:42" s="336" customFormat="1" ht="17.25" customHeight="1" thickBot="1">
      <c r="A21" s="261">
        <f>D21</f>
        <v>2</v>
      </c>
      <c r="B21" s="452">
        <v>2</v>
      </c>
      <c r="C21" s="499">
        <f>C20+AP$22</f>
        <v>0.5694444444444444</v>
      </c>
      <c r="D21" s="463">
        <v>2</v>
      </c>
      <c r="E21" s="508">
        <v>1</v>
      </c>
      <c r="F21" s="464" t="str">
        <f>F12</f>
        <v>SG Bademeusel</v>
      </c>
      <c r="G21" s="154" t="s">
        <v>7</v>
      </c>
      <c r="H21" s="769" t="str">
        <f>F13</f>
        <v>Berliner Turnerschaft</v>
      </c>
      <c r="I21" s="770"/>
      <c r="J21" s="770"/>
      <c r="K21" s="503">
        <v>1</v>
      </c>
      <c r="L21" s="504" t="s">
        <v>7</v>
      </c>
      <c r="M21" s="505">
        <v>11</v>
      </c>
      <c r="N21" s="503">
        <v>9</v>
      </c>
      <c r="O21" s="504" t="s">
        <v>7</v>
      </c>
      <c r="P21" s="505">
        <v>11</v>
      </c>
      <c r="Q21" s="503"/>
      <c r="R21" s="504" t="s">
        <v>7</v>
      </c>
      <c r="S21" s="505"/>
      <c r="T21" s="465" t="str">
        <f>F10</f>
        <v>VfL Kellinghusen</v>
      </c>
      <c r="U21" s="780" t="s">
        <v>327</v>
      </c>
      <c r="V21" s="780"/>
      <c r="W21" s="780"/>
      <c r="X21" s="456" t="s">
        <v>97</v>
      </c>
      <c r="Y21" s="460">
        <f t="shared" si="0"/>
        <v>41692</v>
      </c>
      <c r="Z21" s="461">
        <f aca="true" t="shared" si="1" ref="Z21:Z28">IF(M21="","",IF(K21&gt;M21,1,0))</f>
        <v>0</v>
      </c>
      <c r="AA21" s="461">
        <f aca="true" t="shared" si="2" ref="AA21:AA28">IF(P21="","",IF(N21&gt;P21,1,0))</f>
        <v>0</v>
      </c>
      <c r="AB21" s="461">
        <f aca="true" t="shared" si="3" ref="AB21:AB28">IF(S21="","",IF(Q21&gt;S21,1,0))</f>
      </c>
      <c r="AC21" s="461">
        <f aca="true" t="shared" si="4" ref="AC21:AC28">IF(Z21="","",IF(Z21=0,1,0))</f>
        <v>1</v>
      </c>
      <c r="AD21" s="461">
        <f aca="true" t="shared" si="5" ref="AD21:AD28">IF(AA21="","",IF(AA21=0,1,0))</f>
        <v>1</v>
      </c>
      <c r="AE21" s="461">
        <f aca="true" t="shared" si="6" ref="AE21:AE28">IF(AB21="","",IF(AB21=0,1,0))</f>
      </c>
      <c r="AF21" s="330">
        <f aca="true" t="shared" si="7" ref="AF21:AF28">IF(P21="",0,IF(Q21=0,K21+N21,K21+N21+Q21))</f>
        <v>10</v>
      </c>
      <c r="AG21" s="331" t="s">
        <v>7</v>
      </c>
      <c r="AH21" s="332">
        <f aca="true" t="shared" si="8" ref="AH21:AH28">IF(P21="",0,IF(S21="",M21+P21,M21+P21+S21))</f>
        <v>22</v>
      </c>
      <c r="AI21" s="330">
        <f aca="true" t="shared" si="9" ref="AI21:AI28">IF(AA21="",0,IF(AB21="",Z21+AA21,Z21+AA21+AB21))</f>
        <v>0</v>
      </c>
      <c r="AJ21" s="331" t="s">
        <v>7</v>
      </c>
      <c r="AK21" s="332">
        <f aca="true" t="shared" si="10" ref="AK21:AK28">IF(AA21="",0,IF(AE21="",AC21+AD21,AC21+AD21+AE21))</f>
        <v>2</v>
      </c>
      <c r="AL21" s="330">
        <f aca="true" t="shared" si="11" ref="AL21:AL28">IF(AI21=2,2,0)</f>
        <v>0</v>
      </c>
      <c r="AM21" s="331" t="s">
        <v>7</v>
      </c>
      <c r="AN21" s="332">
        <f aca="true" t="shared" si="12" ref="AN21:AN28">IF(AK21=2,2,0)</f>
        <v>2</v>
      </c>
      <c r="AO21" s="459" t="s">
        <v>173</v>
      </c>
      <c r="AP21" s="459"/>
    </row>
    <row r="22" spans="1:43" s="336" customFormat="1" ht="17.25" customHeight="1" thickBot="1" thickTop="1">
      <c r="A22" s="261">
        <f>D22</f>
        <v>3</v>
      </c>
      <c r="B22" s="452">
        <v>3</v>
      </c>
      <c r="C22" s="499">
        <f aca="true" t="shared" si="13" ref="C22:C28">C21+AP$22</f>
        <v>0.5972222222222222</v>
      </c>
      <c r="D22" s="541">
        <v>3</v>
      </c>
      <c r="E22" s="507">
        <v>1</v>
      </c>
      <c r="F22" s="454" t="str">
        <f>T10</f>
        <v>TSV LoLa</v>
      </c>
      <c r="G22" s="153" t="s">
        <v>7</v>
      </c>
      <c r="H22" s="778" t="str">
        <f>T11</f>
        <v>Güstrower SC 09</v>
      </c>
      <c r="I22" s="779"/>
      <c r="J22" s="779"/>
      <c r="K22" s="500">
        <v>11</v>
      </c>
      <c r="L22" s="501" t="s">
        <v>7</v>
      </c>
      <c r="M22" s="502">
        <v>6</v>
      </c>
      <c r="N22" s="500">
        <v>11</v>
      </c>
      <c r="O22" s="501" t="s">
        <v>7</v>
      </c>
      <c r="P22" s="502">
        <v>3</v>
      </c>
      <c r="Q22" s="500"/>
      <c r="R22" s="501" t="s">
        <v>7</v>
      </c>
      <c r="S22" s="502"/>
      <c r="T22" s="455" t="str">
        <f>T12</f>
        <v>SG Stern Kaulsdorf</v>
      </c>
      <c r="U22" s="761" t="s">
        <v>663</v>
      </c>
      <c r="V22" s="761"/>
      <c r="W22" s="761"/>
      <c r="X22" s="456" t="s">
        <v>98</v>
      </c>
      <c r="Y22" s="460">
        <f t="shared" si="0"/>
        <v>41692</v>
      </c>
      <c r="Z22" s="461">
        <f t="shared" si="1"/>
        <v>1</v>
      </c>
      <c r="AA22" s="461">
        <f t="shared" si="2"/>
        <v>1</v>
      </c>
      <c r="AB22" s="461">
        <f t="shared" si="3"/>
      </c>
      <c r="AC22" s="461">
        <f t="shared" si="4"/>
        <v>0</v>
      </c>
      <c r="AD22" s="461">
        <f t="shared" si="5"/>
        <v>0</v>
      </c>
      <c r="AE22" s="461">
        <f t="shared" si="6"/>
      </c>
      <c r="AF22" s="330">
        <f t="shared" si="7"/>
        <v>22</v>
      </c>
      <c r="AG22" s="331" t="s">
        <v>7</v>
      </c>
      <c r="AH22" s="332">
        <f t="shared" si="8"/>
        <v>9</v>
      </c>
      <c r="AI22" s="330">
        <f t="shared" si="9"/>
        <v>2</v>
      </c>
      <c r="AJ22" s="331" t="s">
        <v>7</v>
      </c>
      <c r="AK22" s="332">
        <f t="shared" si="10"/>
        <v>0</v>
      </c>
      <c r="AL22" s="330">
        <f t="shared" si="11"/>
        <v>2</v>
      </c>
      <c r="AM22" s="331" t="s">
        <v>7</v>
      </c>
      <c r="AN22" s="332">
        <f t="shared" si="12"/>
        <v>0</v>
      </c>
      <c r="AO22" s="459" t="s">
        <v>171</v>
      </c>
      <c r="AP22" s="506">
        <v>0.027777777777777776</v>
      </c>
      <c r="AQ22" s="459" t="s">
        <v>172</v>
      </c>
    </row>
    <row r="23" spans="1:43" s="336" customFormat="1" ht="17.25" customHeight="1" thickBot="1" thickTop="1">
      <c r="A23" s="261" t="e">
        <f>#REF!</f>
        <v>#REF!</v>
      </c>
      <c r="B23" s="542">
        <v>4</v>
      </c>
      <c r="C23" s="499">
        <f t="shared" si="13"/>
        <v>0.625</v>
      </c>
      <c r="D23" s="453">
        <v>4</v>
      </c>
      <c r="E23" s="508">
        <v>1</v>
      </c>
      <c r="F23" s="464" t="str">
        <f>F11</f>
        <v>Großenasper SV</v>
      </c>
      <c r="G23" s="154" t="s">
        <v>7</v>
      </c>
      <c r="H23" s="769" t="str">
        <f>F12</f>
        <v>SG Bademeusel</v>
      </c>
      <c r="I23" s="770"/>
      <c r="J23" s="770"/>
      <c r="K23" s="503">
        <v>8</v>
      </c>
      <c r="L23" s="504" t="s">
        <v>7</v>
      </c>
      <c r="M23" s="505">
        <v>11</v>
      </c>
      <c r="N23" s="503">
        <v>11</v>
      </c>
      <c r="O23" s="504" t="s">
        <v>7</v>
      </c>
      <c r="P23" s="505">
        <v>13</v>
      </c>
      <c r="Q23" s="503"/>
      <c r="R23" s="504" t="s">
        <v>7</v>
      </c>
      <c r="S23" s="505"/>
      <c r="T23" s="465" t="str">
        <f>F13</f>
        <v>Berliner Turnerschaft</v>
      </c>
      <c r="U23" s="780" t="s">
        <v>327</v>
      </c>
      <c r="V23" s="780"/>
      <c r="W23" s="780"/>
      <c r="X23" s="456" t="s">
        <v>97</v>
      </c>
      <c r="Y23" s="457">
        <f t="shared" si="0"/>
        <v>41692</v>
      </c>
      <c r="Z23" s="458">
        <f t="shared" si="1"/>
        <v>0</v>
      </c>
      <c r="AA23" s="458">
        <f t="shared" si="2"/>
        <v>0</v>
      </c>
      <c r="AB23" s="458">
        <f t="shared" si="3"/>
      </c>
      <c r="AC23" s="458">
        <f t="shared" si="4"/>
        <v>1</v>
      </c>
      <c r="AD23" s="458">
        <f t="shared" si="5"/>
        <v>1</v>
      </c>
      <c r="AE23" s="458">
        <f t="shared" si="6"/>
      </c>
      <c r="AF23" s="327">
        <f t="shared" si="7"/>
        <v>19</v>
      </c>
      <c r="AG23" s="328" t="s">
        <v>7</v>
      </c>
      <c r="AH23" s="329">
        <f t="shared" si="8"/>
        <v>24</v>
      </c>
      <c r="AI23" s="327">
        <f t="shared" si="9"/>
        <v>0</v>
      </c>
      <c r="AJ23" s="328" t="s">
        <v>7</v>
      </c>
      <c r="AK23" s="329">
        <f t="shared" si="10"/>
        <v>2</v>
      </c>
      <c r="AL23" s="327">
        <f t="shared" si="11"/>
        <v>0</v>
      </c>
      <c r="AM23" s="328" t="s">
        <v>7</v>
      </c>
      <c r="AN23" s="329">
        <f t="shared" si="12"/>
        <v>2</v>
      </c>
      <c r="AO23" s="462" t="s">
        <v>174</v>
      </c>
      <c r="AQ23" s="264"/>
    </row>
    <row r="24" spans="1:40" s="336" customFormat="1" ht="17.25" customHeight="1" thickBot="1">
      <c r="A24" s="261">
        <f>D23</f>
        <v>4</v>
      </c>
      <c r="B24" s="452">
        <v>5</v>
      </c>
      <c r="C24" s="499">
        <f t="shared" si="13"/>
        <v>0.6527777777777778</v>
      </c>
      <c r="D24" s="577">
        <v>5</v>
      </c>
      <c r="E24" s="508">
        <v>1</v>
      </c>
      <c r="F24" s="464" t="str">
        <f>T11</f>
        <v>Güstrower SC 09</v>
      </c>
      <c r="G24" s="154" t="s">
        <v>7</v>
      </c>
      <c r="H24" s="769" t="str">
        <f>T12</f>
        <v>SG Stern Kaulsdorf</v>
      </c>
      <c r="I24" s="770"/>
      <c r="J24" s="770"/>
      <c r="K24" s="503">
        <v>11</v>
      </c>
      <c r="L24" s="504" t="s">
        <v>7</v>
      </c>
      <c r="M24" s="505">
        <v>0</v>
      </c>
      <c r="N24" s="503">
        <v>11</v>
      </c>
      <c r="O24" s="504" t="s">
        <v>7</v>
      </c>
      <c r="P24" s="505">
        <v>0</v>
      </c>
      <c r="Q24" s="503"/>
      <c r="R24" s="504" t="s">
        <v>7</v>
      </c>
      <c r="S24" s="505"/>
      <c r="T24" s="465" t="str">
        <f>F11</f>
        <v>Großenasper SV</v>
      </c>
      <c r="U24" s="780" t="s">
        <v>663</v>
      </c>
      <c r="V24" s="780"/>
      <c r="W24" s="780"/>
      <c r="X24" s="456" t="s">
        <v>98</v>
      </c>
      <c r="Y24" s="460">
        <f t="shared" si="0"/>
        <v>41692</v>
      </c>
      <c r="Z24" s="461">
        <f t="shared" si="1"/>
        <v>1</v>
      </c>
      <c r="AA24" s="461">
        <f t="shared" si="2"/>
        <v>1</v>
      </c>
      <c r="AB24" s="461">
        <f t="shared" si="3"/>
      </c>
      <c r="AC24" s="461">
        <f t="shared" si="4"/>
        <v>0</v>
      </c>
      <c r="AD24" s="461">
        <f t="shared" si="5"/>
        <v>0</v>
      </c>
      <c r="AE24" s="461">
        <f t="shared" si="6"/>
      </c>
      <c r="AF24" s="330">
        <f t="shared" si="7"/>
        <v>22</v>
      </c>
      <c r="AG24" s="331" t="s">
        <v>7</v>
      </c>
      <c r="AH24" s="332">
        <f t="shared" si="8"/>
        <v>0</v>
      </c>
      <c r="AI24" s="330">
        <f t="shared" si="9"/>
        <v>2</v>
      </c>
      <c r="AJ24" s="331" t="s">
        <v>7</v>
      </c>
      <c r="AK24" s="332">
        <f t="shared" si="10"/>
        <v>0</v>
      </c>
      <c r="AL24" s="330">
        <f t="shared" si="11"/>
        <v>2</v>
      </c>
      <c r="AM24" s="331" t="s">
        <v>7</v>
      </c>
      <c r="AN24" s="332">
        <f t="shared" si="12"/>
        <v>0</v>
      </c>
    </row>
    <row r="25" spans="1:40" s="336" customFormat="1" ht="17.25" customHeight="1" thickBot="1">
      <c r="A25" s="261">
        <f>D24</f>
        <v>5</v>
      </c>
      <c r="B25" s="452">
        <v>6</v>
      </c>
      <c r="C25" s="499">
        <f t="shared" si="13"/>
        <v>0.6805555555555556</v>
      </c>
      <c r="D25" s="541">
        <v>6</v>
      </c>
      <c r="E25" s="507">
        <v>1</v>
      </c>
      <c r="F25" s="454" t="str">
        <f>F10</f>
        <v>VfL Kellinghusen</v>
      </c>
      <c r="G25" s="153" t="s">
        <v>7</v>
      </c>
      <c r="H25" s="778" t="str">
        <f>F13</f>
        <v>Berliner Turnerschaft</v>
      </c>
      <c r="I25" s="779"/>
      <c r="J25" s="779"/>
      <c r="K25" s="500">
        <v>11</v>
      </c>
      <c r="L25" s="501" t="s">
        <v>7</v>
      </c>
      <c r="M25" s="502">
        <v>4</v>
      </c>
      <c r="N25" s="500">
        <v>14</v>
      </c>
      <c r="O25" s="501" t="s">
        <v>7</v>
      </c>
      <c r="P25" s="502">
        <v>12</v>
      </c>
      <c r="Q25" s="500"/>
      <c r="R25" s="501" t="s">
        <v>7</v>
      </c>
      <c r="S25" s="502"/>
      <c r="T25" s="455" t="str">
        <f>T11</f>
        <v>Güstrower SC 09</v>
      </c>
      <c r="U25" s="761" t="s">
        <v>327</v>
      </c>
      <c r="V25" s="761"/>
      <c r="W25" s="761"/>
      <c r="X25" s="456" t="s">
        <v>97</v>
      </c>
      <c r="Y25" s="460">
        <f t="shared" si="0"/>
        <v>41692</v>
      </c>
      <c r="Z25" s="461">
        <f t="shared" si="1"/>
        <v>1</v>
      </c>
      <c r="AA25" s="461">
        <f t="shared" si="2"/>
        <v>1</v>
      </c>
      <c r="AB25" s="461">
        <f t="shared" si="3"/>
      </c>
      <c r="AC25" s="461">
        <f t="shared" si="4"/>
        <v>0</v>
      </c>
      <c r="AD25" s="461">
        <f t="shared" si="5"/>
        <v>0</v>
      </c>
      <c r="AE25" s="461">
        <f t="shared" si="6"/>
      </c>
      <c r="AF25" s="330">
        <f t="shared" si="7"/>
        <v>25</v>
      </c>
      <c r="AG25" s="331" t="s">
        <v>7</v>
      </c>
      <c r="AH25" s="332">
        <f t="shared" si="8"/>
        <v>16</v>
      </c>
      <c r="AI25" s="330">
        <f t="shared" si="9"/>
        <v>2</v>
      </c>
      <c r="AJ25" s="331" t="s">
        <v>7</v>
      </c>
      <c r="AK25" s="332">
        <f t="shared" si="10"/>
        <v>0</v>
      </c>
      <c r="AL25" s="330">
        <f t="shared" si="11"/>
        <v>2</v>
      </c>
      <c r="AM25" s="331" t="s">
        <v>7</v>
      </c>
      <c r="AN25" s="332">
        <f t="shared" si="12"/>
        <v>0</v>
      </c>
    </row>
    <row r="26" spans="1:40" s="336" customFormat="1" ht="17.25" customHeight="1" thickBot="1">
      <c r="A26" s="261">
        <f>D25</f>
        <v>6</v>
      </c>
      <c r="B26" s="452">
        <v>7</v>
      </c>
      <c r="C26" s="499">
        <f t="shared" si="13"/>
        <v>0.7083333333333334</v>
      </c>
      <c r="D26" s="463">
        <v>7</v>
      </c>
      <c r="E26" s="507">
        <v>1</v>
      </c>
      <c r="F26" s="454" t="str">
        <f>F11</f>
        <v>Großenasper SV</v>
      </c>
      <c r="G26" s="153" t="s">
        <v>7</v>
      </c>
      <c r="H26" s="778" t="str">
        <f>F13</f>
        <v>Berliner Turnerschaft</v>
      </c>
      <c r="I26" s="779"/>
      <c r="J26" s="779"/>
      <c r="K26" s="500">
        <v>10</v>
      </c>
      <c r="L26" s="501" t="s">
        <v>7</v>
      </c>
      <c r="M26" s="502">
        <v>12</v>
      </c>
      <c r="N26" s="500">
        <v>5</v>
      </c>
      <c r="O26" s="501" t="s">
        <v>7</v>
      </c>
      <c r="P26" s="502">
        <v>11</v>
      </c>
      <c r="Q26" s="500"/>
      <c r="R26" s="501" t="s">
        <v>7</v>
      </c>
      <c r="S26" s="502"/>
      <c r="T26" s="455" t="str">
        <f>T10</f>
        <v>TSV LoLa</v>
      </c>
      <c r="U26" s="761" t="s">
        <v>327</v>
      </c>
      <c r="V26" s="761"/>
      <c r="W26" s="761"/>
      <c r="X26" s="456" t="s">
        <v>97</v>
      </c>
      <c r="Y26" s="460">
        <f t="shared" si="0"/>
        <v>41692</v>
      </c>
      <c r="Z26" s="461">
        <f t="shared" si="1"/>
        <v>0</v>
      </c>
      <c r="AA26" s="461">
        <f t="shared" si="2"/>
        <v>0</v>
      </c>
      <c r="AB26" s="461">
        <f t="shared" si="3"/>
      </c>
      <c r="AC26" s="461">
        <f t="shared" si="4"/>
        <v>1</v>
      </c>
      <c r="AD26" s="461">
        <f t="shared" si="5"/>
        <v>1</v>
      </c>
      <c r="AE26" s="461">
        <f t="shared" si="6"/>
      </c>
      <c r="AF26" s="330">
        <f t="shared" si="7"/>
        <v>15</v>
      </c>
      <c r="AG26" s="331" t="s">
        <v>7</v>
      </c>
      <c r="AH26" s="332">
        <f t="shared" si="8"/>
        <v>23</v>
      </c>
      <c r="AI26" s="330">
        <f t="shared" si="9"/>
        <v>0</v>
      </c>
      <c r="AJ26" s="331" t="s">
        <v>7</v>
      </c>
      <c r="AK26" s="332">
        <f t="shared" si="10"/>
        <v>2</v>
      </c>
      <c r="AL26" s="330">
        <f t="shared" si="11"/>
        <v>0</v>
      </c>
      <c r="AM26" s="331" t="s">
        <v>7</v>
      </c>
      <c r="AN26" s="332">
        <f t="shared" si="12"/>
        <v>2</v>
      </c>
    </row>
    <row r="27" spans="1:40" s="336" customFormat="1" ht="17.25" customHeight="1" thickBot="1">
      <c r="A27" s="261" t="e">
        <f>#REF!</f>
        <v>#REF!</v>
      </c>
      <c r="B27" s="542">
        <v>8</v>
      </c>
      <c r="C27" s="499">
        <f t="shared" si="13"/>
        <v>0.7361111111111112</v>
      </c>
      <c r="D27" s="541">
        <v>8</v>
      </c>
      <c r="E27" s="551">
        <v>1</v>
      </c>
      <c r="F27" s="552" t="str">
        <f>F10</f>
        <v>VfL Kellinghusen</v>
      </c>
      <c r="G27" s="553" t="s">
        <v>7</v>
      </c>
      <c r="H27" s="798" t="str">
        <f>F12</f>
        <v>SG Bademeusel</v>
      </c>
      <c r="I27" s="799"/>
      <c r="J27" s="799"/>
      <c r="K27" s="555">
        <v>11</v>
      </c>
      <c r="L27" s="556" t="s">
        <v>7</v>
      </c>
      <c r="M27" s="557">
        <v>5</v>
      </c>
      <c r="N27" s="555">
        <v>11</v>
      </c>
      <c r="O27" s="556" t="s">
        <v>7</v>
      </c>
      <c r="P27" s="557">
        <v>9</v>
      </c>
      <c r="Q27" s="555"/>
      <c r="R27" s="556" t="s">
        <v>7</v>
      </c>
      <c r="S27" s="557"/>
      <c r="T27" s="554" t="str">
        <f>F11</f>
        <v>Großenasper SV</v>
      </c>
      <c r="U27" s="795" t="s">
        <v>663</v>
      </c>
      <c r="V27" s="795"/>
      <c r="W27" s="795"/>
      <c r="X27" s="558" t="s">
        <v>97</v>
      </c>
      <c r="Y27" s="467">
        <f t="shared" si="0"/>
        <v>41692</v>
      </c>
      <c r="Z27" s="468">
        <f t="shared" si="1"/>
        <v>1</v>
      </c>
      <c r="AA27" s="468">
        <f t="shared" si="2"/>
        <v>1</v>
      </c>
      <c r="AB27" s="468">
        <f t="shared" si="3"/>
      </c>
      <c r="AC27" s="468">
        <f t="shared" si="4"/>
        <v>0</v>
      </c>
      <c r="AD27" s="468">
        <f t="shared" si="5"/>
        <v>0</v>
      </c>
      <c r="AE27" s="468">
        <f t="shared" si="6"/>
      </c>
      <c r="AF27" s="333">
        <f t="shared" si="7"/>
        <v>22</v>
      </c>
      <c r="AG27" s="334" t="s">
        <v>7</v>
      </c>
      <c r="AH27" s="335">
        <f t="shared" si="8"/>
        <v>14</v>
      </c>
      <c r="AI27" s="333">
        <f t="shared" si="9"/>
        <v>2</v>
      </c>
      <c r="AJ27" s="334" t="s">
        <v>7</v>
      </c>
      <c r="AK27" s="335">
        <f t="shared" si="10"/>
        <v>0</v>
      </c>
      <c r="AL27" s="333">
        <f t="shared" si="11"/>
        <v>2</v>
      </c>
      <c r="AM27" s="334" t="s">
        <v>7</v>
      </c>
      <c r="AN27" s="335">
        <f t="shared" si="12"/>
        <v>0</v>
      </c>
    </row>
    <row r="28" spans="1:40" s="336" customFormat="1" ht="17.25" customHeight="1" thickBot="1">
      <c r="A28" s="261">
        <f>D26</f>
        <v>7</v>
      </c>
      <c r="B28" s="452">
        <v>9</v>
      </c>
      <c r="C28" s="499">
        <f t="shared" si="13"/>
        <v>0.763888888888889</v>
      </c>
      <c r="D28" s="463">
        <v>9</v>
      </c>
      <c r="E28" s="543">
        <v>1</v>
      </c>
      <c r="F28" s="544" t="str">
        <f>T10</f>
        <v>TSV LoLa</v>
      </c>
      <c r="G28" s="545" t="s">
        <v>7</v>
      </c>
      <c r="H28" s="796" t="str">
        <f>T12</f>
        <v>SG Stern Kaulsdorf</v>
      </c>
      <c r="I28" s="797"/>
      <c r="J28" s="797"/>
      <c r="K28" s="547">
        <v>11</v>
      </c>
      <c r="L28" s="548" t="s">
        <v>7</v>
      </c>
      <c r="M28" s="549">
        <v>0</v>
      </c>
      <c r="N28" s="547">
        <v>11</v>
      </c>
      <c r="O28" s="548" t="s">
        <v>7</v>
      </c>
      <c r="P28" s="549">
        <v>0</v>
      </c>
      <c r="Q28" s="547"/>
      <c r="R28" s="548" t="s">
        <v>7</v>
      </c>
      <c r="S28" s="549"/>
      <c r="T28" s="546" t="str">
        <f>F12</f>
        <v>SG Bademeusel</v>
      </c>
      <c r="U28" s="800" t="s">
        <v>663</v>
      </c>
      <c r="V28" s="800"/>
      <c r="W28" s="800"/>
      <c r="X28" s="550" t="s">
        <v>98</v>
      </c>
      <c r="Y28" s="559">
        <f t="shared" si="0"/>
        <v>41692</v>
      </c>
      <c r="Z28" s="560">
        <f t="shared" si="1"/>
        <v>1</v>
      </c>
      <c r="AA28" s="560">
        <f t="shared" si="2"/>
        <v>1</v>
      </c>
      <c r="AB28" s="560">
        <f t="shared" si="3"/>
      </c>
      <c r="AC28" s="560">
        <f t="shared" si="4"/>
        <v>0</v>
      </c>
      <c r="AD28" s="560">
        <f t="shared" si="5"/>
        <v>0</v>
      </c>
      <c r="AE28" s="560">
        <f t="shared" si="6"/>
      </c>
      <c r="AF28" s="561">
        <f t="shared" si="7"/>
        <v>22</v>
      </c>
      <c r="AG28" s="562" t="s">
        <v>7</v>
      </c>
      <c r="AH28" s="563">
        <f t="shared" si="8"/>
        <v>0</v>
      </c>
      <c r="AI28" s="561">
        <f t="shared" si="9"/>
        <v>2</v>
      </c>
      <c r="AJ28" s="562" t="s">
        <v>7</v>
      </c>
      <c r="AK28" s="563">
        <f t="shared" si="10"/>
        <v>0</v>
      </c>
      <c r="AL28" s="561">
        <f t="shared" si="11"/>
        <v>2</v>
      </c>
      <c r="AM28" s="562" t="s">
        <v>7</v>
      </c>
      <c r="AN28" s="563">
        <f t="shared" si="12"/>
        <v>0</v>
      </c>
    </row>
    <row r="29" spans="1:41" s="336" customFormat="1" ht="17.25" customHeight="1" hidden="1">
      <c r="A29" s="261" t="e">
        <f>#REF!</f>
        <v>#REF!</v>
      </c>
      <c r="B29" s="565">
        <f>IF('Spielplan-So'!A17="","",'Spielplan-So'!A17)</f>
        <v>10</v>
      </c>
      <c r="C29" s="566">
        <f>IF('Spielplan-So'!B17="","",'Spielplan-So'!B17)</f>
        <v>0.3958333333333333</v>
      </c>
      <c r="D29" s="564">
        <f>IF('Spielplan-So'!C17="","",'Spielplan-So'!C17)</f>
        <v>10</v>
      </c>
      <c r="E29" s="565">
        <f>IF('Spielplan-So'!D17="","",'Spielplan-So'!D17)</f>
        <v>1</v>
      </c>
      <c r="F29" t="str">
        <f>IF('Spielplan-So'!E18="","",'Spielplan-So'!E18)</f>
        <v>Güstrower SC 09</v>
      </c>
      <c r="G29"/>
      <c r="H29" t="str">
        <f>IF('Spielplan-So'!G18="","",'Spielplan-So'!G18)</f>
        <v>SG Bademeusel</v>
      </c>
      <c r="I29"/>
      <c r="J29"/>
      <c r="K29" s="1"/>
      <c r="L29" s="1"/>
      <c r="M29" s="1"/>
      <c r="N29" s="1"/>
      <c r="O29" s="1"/>
      <c r="P29" s="1"/>
      <c r="Q29" s="1"/>
      <c r="R29" s="1"/>
      <c r="S29" s="95"/>
      <c r="T29" t="str">
        <f>IF('Spielplan-So'!S18="","",'Spielplan-So'!S18)</f>
        <v>VfL Kellinghusen</v>
      </c>
      <c r="U29" t="str">
        <f>IF('Spielplan-So'!T18="","",'Spielplan-So'!T18)</f>
        <v>Volkmar Paulus</v>
      </c>
      <c r="V29"/>
      <c r="W29"/>
      <c r="X29" t="str">
        <f>IF('Spielplan-So'!W18="","",'Spielplan-So'!W18)</f>
        <v>Qualifikation</v>
      </c>
      <c r="Y29" s="567">
        <f>IF('Spielplan-So'!X18="","",'Spielplan-So'!X18)</f>
        <v>41693</v>
      </c>
      <c r="Z29"/>
      <c r="AA29"/>
      <c r="AB29"/>
      <c r="AC29"/>
      <c r="AD29"/>
      <c r="AE29" s="58"/>
      <c r="AF29" s="33"/>
      <c r="AG29" s="33"/>
      <c r="AH29" s="33"/>
      <c r="AI29" s="33"/>
      <c r="AJ29" s="33"/>
      <c r="AK29" s="33"/>
      <c r="AL29" s="33"/>
      <c r="AM29" s="33"/>
      <c r="AN29" s="33"/>
      <c r="AO29" s="264"/>
    </row>
    <row r="30" spans="1:40" s="336" customFormat="1" ht="17.25" customHeight="1" hidden="1">
      <c r="A30" s="261">
        <f aca="true" t="shared" si="14" ref="A30:A39">D27</f>
        <v>8</v>
      </c>
      <c r="B30" s="565">
        <f>IF('Spielplan-So'!A19="","",'Spielplan-So'!A19)</f>
        <v>11</v>
      </c>
      <c r="C30" s="566">
        <f>IF('Spielplan-So'!B19="","",'Spielplan-So'!B19)</f>
        <v>0.4236111111111111</v>
      </c>
      <c r="D30" s="565">
        <f>IF('Spielplan-So'!C19="","",'Spielplan-So'!C19)</f>
        <v>11</v>
      </c>
      <c r="E30" s="565">
        <f>IF('Spielplan-So'!D19="","",'Spielplan-So'!D19)</f>
        <v>1</v>
      </c>
      <c r="F30" t="str">
        <f>IF('Spielplan-So'!E20="","",'Spielplan-So'!E20)</f>
        <v>Berliner Turnerschaft</v>
      </c>
      <c r="G30" s="1"/>
      <c r="H30" t="str">
        <f>IF('Spielplan-So'!G20="","",'Spielplan-So'!G20)</f>
        <v>Großenasper SV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t="str">
        <f>IF('Spielplan-So'!S20="","",'Spielplan-So'!S20)</f>
        <v>TSV LoLa</v>
      </c>
      <c r="U30" t="str">
        <f>IF('Spielplan-So'!T20="","",'Spielplan-So'!T20)</f>
        <v>Sven Dreeke</v>
      </c>
      <c r="V30" s="29"/>
      <c r="W30" s="29"/>
      <c r="X30" t="str">
        <f>IF('Spielplan-So'!W20="","",'Spielplan-So'!W20)</f>
        <v>Qualifikation</v>
      </c>
      <c r="Y30" s="567">
        <f>IF('Spielplan-So'!X20="","",'Spielplan-So'!X20)</f>
        <v>41693</v>
      </c>
      <c r="Z30" s="58"/>
      <c r="AA30" s="58"/>
      <c r="AB30" s="58"/>
      <c r="AC30" s="58"/>
      <c r="AD30" s="58"/>
      <c r="AE30" s="58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336" customFormat="1" ht="17.25" customHeight="1" hidden="1">
      <c r="A31" s="261">
        <f t="shared" si="14"/>
        <v>9</v>
      </c>
      <c r="B31" s="565">
        <f>IF('Spielplan-So'!A21="","",'Spielplan-So'!A21)</f>
        <v>12</v>
      </c>
      <c r="C31" s="566">
        <f>IF('Spielplan-So'!B21="","",'Spielplan-So'!B21)</f>
        <v>0.4513888888888889</v>
      </c>
      <c r="D31" s="565">
        <f>IF('Spielplan-So'!C21="","",'Spielplan-So'!C21)</f>
        <v>12</v>
      </c>
      <c r="E31" s="565">
        <f>IF('Spielplan-So'!D21="","",'Spielplan-So'!D21)</f>
        <v>1</v>
      </c>
      <c r="F31" t="str">
        <f>IF('Spielplan-So'!E22="","",'Spielplan-So'!E22)</f>
        <v>Großenasper SV</v>
      </c>
      <c r="G31" s="1"/>
      <c r="H31" t="str">
        <f>IF('Spielplan-So'!G22="","",'Spielplan-So'!G22)</f>
        <v>Güstrower SC 09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t="str">
        <f>IF('Spielplan-So'!S22="","",'Spielplan-So'!S22)</f>
        <v>Großenasper SV</v>
      </c>
      <c r="U31">
        <f>IF('Spielplan-So'!T22="","",'Spielplan-So'!T22)</f>
      </c>
      <c r="V31" s="29"/>
      <c r="W31" s="29"/>
      <c r="X31" t="str">
        <f>IF('Spielplan-So'!W22="","",'Spielplan-So'!W22)</f>
        <v>Platz 7/8</v>
      </c>
      <c r="Y31" s="567">
        <f>IF('Spielplan-So'!X22="","",'Spielplan-So'!X22)</f>
        <v>41693</v>
      </c>
      <c r="Z31" s="58"/>
      <c r="AA31" s="58"/>
      <c r="AB31" s="58"/>
      <c r="AC31" s="58"/>
      <c r="AD31" s="58"/>
      <c r="AE31" s="58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25" ht="12.75" hidden="1">
      <c r="A32" s="261">
        <f t="shared" si="14"/>
        <v>10</v>
      </c>
      <c r="B32" s="565">
        <f>IF('Spielplan-So'!A23="","",'Spielplan-So'!A23)</f>
        <v>12</v>
      </c>
      <c r="C32" s="566">
        <f>IF('Spielplan-So'!B23="","",'Spielplan-So'!B23)</f>
        <v>0.4513888888888889</v>
      </c>
      <c r="D32" s="565">
        <f>IF('Spielplan-So'!C23="","",'Spielplan-So'!C23)</f>
        <v>12</v>
      </c>
      <c r="E32" s="565">
        <f>IF('Spielplan-So'!D23="","",'Spielplan-So'!D23)</f>
        <v>1</v>
      </c>
      <c r="F32" t="str">
        <f>IF('Spielplan-So'!E24="","",'Spielplan-So'!E24)</f>
        <v>VfL Kellinghusen</v>
      </c>
      <c r="H32" t="str">
        <f>IF('Spielplan-So'!G24="","",'Spielplan-So'!G24)</f>
        <v>SG Bademeusel</v>
      </c>
      <c r="T32" t="str">
        <f>IF('Spielplan-So'!S24="","",'Spielplan-So'!S24)</f>
        <v>Großenasper SV</v>
      </c>
      <c r="U32" t="str">
        <f>IF('Spielplan-So'!T24="","",'Spielplan-So'!T24)</f>
        <v>Volkmar Paulus</v>
      </c>
      <c r="X32" t="str">
        <f>IF('Spielplan-So'!W24="","",'Spielplan-So'!W24)</f>
        <v>Halbfinale</v>
      </c>
      <c r="Y32" s="567">
        <f>IF('Spielplan-So'!X24="","",'Spielplan-So'!X24)</f>
        <v>41693</v>
      </c>
    </row>
    <row r="33" spans="1:25" ht="12.75" hidden="1">
      <c r="A33" s="261">
        <f t="shared" si="14"/>
        <v>11</v>
      </c>
      <c r="B33" s="565">
        <f>IF('Spielplan-So'!A27="","",'Spielplan-So'!A27)</f>
        <v>14</v>
      </c>
      <c r="C33" s="566">
        <f>IF('Spielplan-So'!B27="","",'Spielplan-So'!B27)</f>
        <v>0.5069444444444444</v>
      </c>
      <c r="D33" s="565">
        <f>IF('Spielplan-So'!C27="","",'Spielplan-So'!C27)</f>
        <v>14</v>
      </c>
      <c r="E33" s="565">
        <f>IF('Spielplan-So'!D27="","",'Spielplan-So'!D27)</f>
        <v>1</v>
      </c>
      <c r="F33" t="str">
        <f>IF('Spielplan-So'!E28="","",'Spielplan-So'!E28)</f>
        <v>TSV LoLa</v>
      </c>
      <c r="H33" t="str">
        <f>IF('Spielplan-So'!G28="","",'Spielplan-So'!G28)</f>
        <v>Berliner Turnerschaft</v>
      </c>
      <c r="T33" t="str">
        <f>IF('Spielplan-So'!S28="","",'Spielplan-So'!S28)</f>
        <v>Güstrower SC 09</v>
      </c>
      <c r="U33" t="str">
        <f>IF('Spielplan-So'!T28="","",'Spielplan-So'!T28)</f>
        <v>Sven Dreeke</v>
      </c>
      <c r="X33" t="str">
        <f>IF('Spielplan-So'!W28="","",'Spielplan-So'!W28)</f>
        <v>Halbfinale</v>
      </c>
      <c r="Y33" s="567">
        <f>IF('Spielplan-So'!X28="","",'Spielplan-So'!X28)</f>
        <v>41693</v>
      </c>
    </row>
    <row r="34" spans="1:25" ht="12.75" hidden="1">
      <c r="A34" s="261">
        <f t="shared" si="14"/>
        <v>12</v>
      </c>
      <c r="B34" s="565">
        <f>IF('Spielplan-So'!A29="","",'Spielplan-So'!A29)</f>
        <v>16</v>
      </c>
      <c r="C34" s="566">
        <f>IF('Spielplan-So'!B29="","",'Spielplan-So'!B29)</f>
        <v>0.5347222222222222</v>
      </c>
      <c r="D34" s="565">
        <f>IF('Spielplan-So'!C29="","",'Spielplan-So'!C29)</f>
        <v>16</v>
      </c>
      <c r="E34" s="565">
        <f>IF('Spielplan-So'!D29="","",'Spielplan-So'!D29)</f>
        <v>1</v>
      </c>
      <c r="F34" t="str">
        <f>IF('Spielplan-So'!E30="","",'Spielplan-So'!E30)</f>
        <v>Güstrower SC 09</v>
      </c>
      <c r="H34" t="str">
        <f>IF('Spielplan-So'!G30="","",'Spielplan-So'!G30)</f>
        <v>Großenasper SV</v>
      </c>
      <c r="T34" t="str">
        <f>IF('Spielplan-So'!S30="","",'Spielplan-So'!S30)</f>
        <v>Großenasper SV</v>
      </c>
      <c r="U34">
        <f>IF('Spielplan-So'!T30="","",'Spielplan-So'!T30)</f>
      </c>
      <c r="X34" t="str">
        <f>IF('Spielplan-So'!W30="","",'Spielplan-So'!W30)</f>
        <v>Platz 5/6</v>
      </c>
      <c r="Y34" s="567">
        <f>IF('Spielplan-So'!X30="","",'Spielplan-So'!X30)</f>
        <v>41693</v>
      </c>
    </row>
    <row r="35" spans="1:25" ht="12.75" hidden="1">
      <c r="A35" s="261">
        <f t="shared" si="14"/>
        <v>12</v>
      </c>
      <c r="B35" s="565">
        <f>IF('Spielplan-So'!A31="","",'Spielplan-So'!A31)</f>
        <v>15</v>
      </c>
      <c r="C35" s="566">
        <f>IF('Spielplan-So'!B31="","",'Spielplan-So'!B31)</f>
        <v>0.5347222222222222</v>
      </c>
      <c r="D35" s="565">
        <f>IF('Spielplan-So'!C31="","",'Spielplan-So'!C31)</f>
        <v>15</v>
      </c>
      <c r="E35" s="565">
        <f>IF('Spielplan-So'!D31="","",'Spielplan-So'!D31)</f>
        <v>1</v>
      </c>
      <c r="F35" t="str">
        <f>IF('Spielplan-So'!E32="","",'Spielplan-So'!E32)</f>
        <v>SG Bademeusel</v>
      </c>
      <c r="H35" t="str">
        <f>IF('Spielplan-So'!G32="","",'Spielplan-So'!G32)</f>
        <v>TSV LoLa</v>
      </c>
      <c r="T35" t="str">
        <f>IF('Spielplan-So'!S32="","",'Spielplan-So'!S32)</f>
        <v>Schiedsrichter</v>
      </c>
      <c r="U35" t="str">
        <f>IF('Spielplan-So'!T32="","",'Spielplan-So'!T32)</f>
        <v>Volkmar Paulus</v>
      </c>
      <c r="X35" t="str">
        <f>IF('Spielplan-So'!W32="","",'Spielplan-So'!W32)</f>
        <v>Platz 3/4</v>
      </c>
      <c r="Y35" s="567">
        <f>IF('Spielplan-So'!X32="","",'Spielplan-So'!X32)</f>
        <v>41693</v>
      </c>
    </row>
    <row r="36" spans="1:25" ht="12.75" hidden="1">
      <c r="A36" s="261">
        <f t="shared" si="14"/>
        <v>14</v>
      </c>
      <c r="B36" s="565">
        <f>IF('Spielplan-So'!A33="","",'Spielplan-So'!A33)</f>
        <v>16</v>
      </c>
      <c r="C36" s="566">
        <f>IF('Spielplan-So'!B33="","",'Spielplan-So'!B33)</f>
        <v>0.5625</v>
      </c>
      <c r="D36" s="565">
        <f>IF('Spielplan-So'!C33="","",'Spielplan-So'!C33)</f>
        <v>16</v>
      </c>
      <c r="E36" s="565">
        <f>IF('Spielplan-So'!D33="","",'Spielplan-So'!D33)</f>
        <v>1</v>
      </c>
      <c r="F36" t="str">
        <f>IF('Spielplan-So'!E34="","",'Spielplan-So'!E34)</f>
        <v>VfL Kellinghusen</v>
      </c>
      <c r="H36" t="str">
        <f>IF('Spielplan-So'!G34="","",'Spielplan-So'!G34)</f>
        <v>Berliner Turnerschaft</v>
      </c>
      <c r="T36" t="str">
        <f>IF('Spielplan-So'!S34="","",'Spielplan-So'!S34)</f>
        <v>Schiedsrichter</v>
      </c>
      <c r="U36" t="str">
        <f>IF('Spielplan-So'!T34="","",'Spielplan-So'!T34)</f>
        <v>Sven Dreeke</v>
      </c>
      <c r="X36" t="str">
        <f>IF('Spielplan-So'!W34="","",'Spielplan-So'!W34)</f>
        <v>Finale</v>
      </c>
      <c r="Y36" s="567">
        <f>IF('Spielplan-So'!X34="","",'Spielplan-So'!X34)</f>
        <v>41693</v>
      </c>
    </row>
    <row r="37" spans="1:23" ht="12.75" hidden="1">
      <c r="A37" s="261">
        <f t="shared" si="14"/>
        <v>16</v>
      </c>
      <c r="F37" s="743">
        <f>I10</f>
      </c>
      <c r="G37" s="743"/>
      <c r="H37" s="743"/>
      <c r="I37" s="743"/>
      <c r="J37" s="743"/>
      <c r="T37" s="743">
        <f>I13</f>
        <v>0</v>
      </c>
      <c r="U37" s="743"/>
      <c r="V37" s="743"/>
      <c r="W37" s="743"/>
    </row>
    <row r="38" spans="1:23" ht="12.75" hidden="1">
      <c r="A38" s="261">
        <f t="shared" si="14"/>
        <v>15</v>
      </c>
      <c r="F38" s="743">
        <f>I11</f>
      </c>
      <c r="G38" s="743"/>
      <c r="H38" s="743"/>
      <c r="I38" s="743"/>
      <c r="J38" s="743"/>
      <c r="T38" s="743">
        <f>I14</f>
        <v>0</v>
      </c>
      <c r="U38" s="743"/>
      <c r="V38" s="743"/>
      <c r="W38" s="743"/>
    </row>
    <row r="39" ht="12.75" hidden="1">
      <c r="A39" s="261">
        <f t="shared" si="14"/>
        <v>16</v>
      </c>
    </row>
    <row r="40" ht="12.75">
      <c r="A40" s="299"/>
    </row>
    <row r="41" ht="12.75">
      <c r="A41" s="299"/>
    </row>
    <row r="42" ht="12.75">
      <c r="A42" s="299"/>
    </row>
  </sheetData>
  <sheetProtection selectLockedCells="1"/>
  <mergeCells count="61">
    <mergeCell ref="U27:W27"/>
    <mergeCell ref="H28:J28"/>
    <mergeCell ref="U25:W25"/>
    <mergeCell ref="H25:J25"/>
    <mergeCell ref="H27:J27"/>
    <mergeCell ref="U28:W28"/>
    <mergeCell ref="I10:S10"/>
    <mergeCell ref="I11:S11"/>
    <mergeCell ref="I13:S13"/>
    <mergeCell ref="I14:S14"/>
    <mergeCell ref="M12:N12"/>
    <mergeCell ref="I12:L12"/>
    <mergeCell ref="H22:J22"/>
    <mergeCell ref="H24:J24"/>
    <mergeCell ref="B4:W4"/>
    <mergeCell ref="B5:J5"/>
    <mergeCell ref="B17:B18"/>
    <mergeCell ref="H7:J7"/>
    <mergeCell ref="K7:T7"/>
    <mergeCell ref="T9:V9"/>
    <mergeCell ref="F9:H9"/>
    <mergeCell ref="J9:R9"/>
    <mergeCell ref="F3:U3"/>
    <mergeCell ref="D17:D18"/>
    <mergeCell ref="H21:J21"/>
    <mergeCell ref="H20:J20"/>
    <mergeCell ref="U21:W21"/>
    <mergeCell ref="U26:W26"/>
    <mergeCell ref="H26:J26"/>
    <mergeCell ref="U23:W23"/>
    <mergeCell ref="U24:W24"/>
    <mergeCell ref="U22:W22"/>
    <mergeCell ref="U20:W20"/>
    <mergeCell ref="D19:W19"/>
    <mergeCell ref="F17:F18"/>
    <mergeCell ref="H17:J18"/>
    <mergeCell ref="H23:J23"/>
    <mergeCell ref="E1:T1"/>
    <mergeCell ref="K5:W5"/>
    <mergeCell ref="K17:S17"/>
    <mergeCell ref="U17:W18"/>
    <mergeCell ref="B15:W15"/>
    <mergeCell ref="AC17:AC18"/>
    <mergeCell ref="AD17:AD18"/>
    <mergeCell ref="N18:P18"/>
    <mergeCell ref="AF17:AH18"/>
    <mergeCell ref="E17:E18"/>
    <mergeCell ref="C17:C18"/>
    <mergeCell ref="AE17:AE18"/>
    <mergeCell ref="K18:M18"/>
    <mergeCell ref="Q18:S18"/>
    <mergeCell ref="F37:J37"/>
    <mergeCell ref="F38:J38"/>
    <mergeCell ref="T37:W37"/>
    <mergeCell ref="T38:W38"/>
    <mergeCell ref="AI17:AK18"/>
    <mergeCell ref="AL17:AN18"/>
    <mergeCell ref="G17:G18"/>
    <mergeCell ref="Z17:Z18"/>
    <mergeCell ref="AA17:AA18"/>
    <mergeCell ref="AB17:AB18"/>
  </mergeCells>
  <conditionalFormatting sqref="B15 I10:S11 I13:S14">
    <cfRule type="cellIs" priority="1" dxfId="21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r:id="rId2"/>
  <ignoredErrors>
    <ignoredError sqref="T2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M51"/>
  <sheetViews>
    <sheetView zoomScalePageLayoutView="0" workbookViewId="0" topLeftCell="A7">
      <selection activeCell="B17" sqref="B17:B18"/>
    </sheetView>
  </sheetViews>
  <sheetFormatPr defaultColWidth="11.421875" defaultRowHeight="12.75"/>
  <cols>
    <col min="1" max="1" width="4.57421875" style="0" customWidth="1"/>
    <col min="2" max="2" width="7.28125" style="0" customWidth="1"/>
    <col min="3" max="3" width="7.28125" style="34" customWidth="1"/>
    <col min="4" max="4" width="5.28125" style="0" customWidth="1"/>
    <col min="5" max="5" width="21.7109375" style="0" customWidth="1"/>
    <col min="6" max="6" width="0.85546875" style="0" customWidth="1"/>
    <col min="7" max="7" width="10.28125" style="0" customWidth="1"/>
    <col min="8" max="8" width="2.7109375" style="0" customWidth="1"/>
    <col min="9" max="9" width="10.28125" style="0" customWidth="1"/>
    <col min="10" max="10" width="4.28125" style="0" customWidth="1"/>
    <col min="11" max="11" width="1.7109375" style="0" customWidth="1"/>
    <col min="12" max="13" width="4.28125" style="0" customWidth="1"/>
    <col min="14" max="14" width="1.7109375" style="0" customWidth="1"/>
    <col min="15" max="16" width="4.28125" style="0" customWidth="1"/>
    <col min="17" max="17" width="1.7109375" style="0" customWidth="1"/>
    <col min="18" max="18" width="4.28125" style="0" customWidth="1"/>
    <col min="19" max="19" width="21.7109375" style="0" customWidth="1"/>
    <col min="20" max="20" width="10.28125" style="0" customWidth="1"/>
    <col min="21" max="21" width="2.7109375" style="14" customWidth="1"/>
    <col min="22" max="22" width="10.28125" style="14" customWidth="1"/>
    <col min="23" max="24" width="11.421875" style="11" hidden="1" customWidth="1"/>
    <col min="25" max="30" width="4.8515625" style="58" hidden="1" customWidth="1"/>
    <col min="31" max="31" width="5.7109375" style="55" customWidth="1"/>
    <col min="32" max="32" width="1.7109375" style="55" customWidth="1"/>
    <col min="33" max="34" width="5.7109375" style="55" customWidth="1"/>
    <col min="35" max="35" width="1.7109375" style="55" customWidth="1"/>
    <col min="36" max="37" width="5.7109375" style="55" customWidth="1"/>
    <col min="38" max="38" width="1.7109375" style="55" customWidth="1"/>
    <col min="39" max="39" width="5.7109375" style="55" customWidth="1"/>
  </cols>
  <sheetData>
    <row r="1" spans="4:39" s="203" customFormat="1" ht="30" customHeight="1">
      <c r="D1" s="811" t="s">
        <v>112</v>
      </c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U1" s="264"/>
      <c r="V1" s="264"/>
      <c r="W1" s="260"/>
      <c r="X1" s="260"/>
      <c r="Y1" s="301"/>
      <c r="Z1" s="301"/>
      <c r="AA1" s="301"/>
      <c r="AB1" s="301"/>
      <c r="AC1" s="301"/>
      <c r="AD1" s="301"/>
      <c r="AE1" s="337"/>
      <c r="AF1" s="337"/>
      <c r="AG1" s="337"/>
      <c r="AH1" s="337"/>
      <c r="AI1" s="337"/>
      <c r="AJ1" s="337"/>
      <c r="AK1" s="337"/>
      <c r="AL1" s="337"/>
      <c r="AM1" s="337"/>
    </row>
    <row r="2" spans="3:39" s="203" customFormat="1" ht="26.25" customHeight="1">
      <c r="C2" s="303"/>
      <c r="D2" s="777" t="str">
        <f>IF(Mannschaften!D2="","",Mannschaften!D2)</f>
        <v>Ostdeutsche Meisterschaft der männl. Jugend 14 Halle 13/14</v>
      </c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W2" s="260"/>
      <c r="X2" s="260"/>
      <c r="Y2" s="301"/>
      <c r="Z2" s="301"/>
      <c r="AA2" s="301"/>
      <c r="AB2" s="301"/>
      <c r="AC2" s="301"/>
      <c r="AD2" s="301"/>
      <c r="AE2" s="337"/>
      <c r="AF2" s="337"/>
      <c r="AG2" s="337"/>
      <c r="AH2" s="337"/>
      <c r="AI2" s="337"/>
      <c r="AJ2" s="337"/>
      <c r="AK2" s="337"/>
      <c r="AL2" s="337"/>
      <c r="AM2" s="337"/>
    </row>
    <row r="3" spans="1:39" s="310" customFormat="1" ht="26.25" customHeight="1">
      <c r="A3" s="781" t="str">
        <f>IF(Mannschaften!F4="","",Mannschaften!F4)</f>
        <v>Berlin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338"/>
      <c r="X3" s="338"/>
      <c r="Y3" s="301"/>
      <c r="Z3" s="301"/>
      <c r="AA3" s="301"/>
      <c r="AB3" s="301"/>
      <c r="AC3" s="301"/>
      <c r="AD3" s="301"/>
      <c r="AE3" s="337"/>
      <c r="AF3" s="337"/>
      <c r="AG3" s="337"/>
      <c r="AH3" s="337"/>
      <c r="AI3" s="337"/>
      <c r="AJ3" s="337"/>
      <c r="AK3" s="337"/>
      <c r="AL3" s="337"/>
      <c r="AM3" s="337"/>
    </row>
    <row r="4" spans="1:39" s="310" customFormat="1" ht="19.5" customHeight="1">
      <c r="A4" s="742" t="str">
        <f>Mannschaften!A5</f>
        <v>Ausrichter:     </v>
      </c>
      <c r="B4" s="742"/>
      <c r="C4" s="742"/>
      <c r="D4" s="742"/>
      <c r="E4" s="742"/>
      <c r="F4" s="742"/>
      <c r="G4" s="742"/>
      <c r="H4" s="742"/>
      <c r="I4" s="742"/>
      <c r="J4" s="772" t="str">
        <f>IF(Mannschaften!I5="","",Mannschaften!I5)</f>
        <v>Berliner Turnerschaft</v>
      </c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338"/>
      <c r="X4" s="338"/>
      <c r="Y4" s="304"/>
      <c r="Z4" s="304"/>
      <c r="AA4" s="304"/>
      <c r="AB4" s="304"/>
      <c r="AC4" s="304"/>
      <c r="AD4" s="304"/>
      <c r="AE4" s="339"/>
      <c r="AF4" s="339"/>
      <c r="AG4" s="339"/>
      <c r="AH4" s="339"/>
      <c r="AI4" s="339"/>
      <c r="AJ4" s="339"/>
      <c r="AK4" s="339"/>
      <c r="AL4" s="339"/>
      <c r="AM4" s="339"/>
    </row>
    <row r="5" spans="1:39" s="310" customFormat="1" ht="6" customHeight="1">
      <c r="A5" s="306"/>
      <c r="B5" s="306"/>
      <c r="C5" s="307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40"/>
      <c r="V5" s="340"/>
      <c r="W5" s="338"/>
      <c r="X5" s="338"/>
      <c r="Y5" s="301"/>
      <c r="Z5" s="301"/>
      <c r="AA5" s="301"/>
      <c r="AB5" s="301"/>
      <c r="AC5" s="301"/>
      <c r="AD5" s="301"/>
      <c r="AE5" s="337"/>
      <c r="AF5" s="337"/>
      <c r="AG5" s="337"/>
      <c r="AH5" s="337"/>
      <c r="AI5" s="337"/>
      <c r="AJ5" s="337"/>
      <c r="AK5" s="337"/>
      <c r="AL5" s="337"/>
      <c r="AM5" s="337"/>
    </row>
    <row r="6" spans="1:39" s="203" customFormat="1" ht="16.5" customHeight="1">
      <c r="A6" s="310"/>
      <c r="B6" s="310"/>
      <c r="C6" s="311"/>
      <c r="D6" s="310"/>
      <c r="E6" s="310"/>
      <c r="F6" s="310"/>
      <c r="G6" s="782" t="s">
        <v>64</v>
      </c>
      <c r="H6" s="782"/>
      <c r="I6" s="782"/>
      <c r="J6" s="848">
        <f>Mannschaften!M4</f>
        <v>41693</v>
      </c>
      <c r="K6" s="848"/>
      <c r="L6" s="848"/>
      <c r="M6" s="848"/>
      <c r="N6" s="848"/>
      <c r="O6" s="848"/>
      <c r="P6" s="848"/>
      <c r="Q6" s="848"/>
      <c r="R6" s="848"/>
      <c r="S6" s="310"/>
      <c r="T6" s="310"/>
      <c r="U6" s="340"/>
      <c r="V6" s="340"/>
      <c r="W6" s="260"/>
      <c r="X6" s="260"/>
      <c r="Y6" s="301"/>
      <c r="Z6" s="301"/>
      <c r="AA6" s="301"/>
      <c r="AB6" s="301"/>
      <c r="AC6" s="301"/>
      <c r="AD6" s="301"/>
      <c r="AE6" s="337"/>
      <c r="AF6" s="337"/>
      <c r="AG6" s="337"/>
      <c r="AH6" s="337"/>
      <c r="AI6" s="337"/>
      <c r="AJ6" s="337"/>
      <c r="AK6" s="337"/>
      <c r="AL6" s="337"/>
      <c r="AM6" s="337"/>
    </row>
    <row r="7" spans="1:39" s="203" customFormat="1" ht="8.25" customHeight="1" thickBot="1">
      <c r="A7" s="310"/>
      <c r="B7" s="310"/>
      <c r="C7" s="311"/>
      <c r="D7" s="310"/>
      <c r="E7" s="310"/>
      <c r="F7" s="310"/>
      <c r="G7" s="306"/>
      <c r="H7" s="306"/>
      <c r="I7" s="306"/>
      <c r="J7" s="341"/>
      <c r="K7" s="341"/>
      <c r="L7" s="341"/>
      <c r="M7" s="341"/>
      <c r="N7" s="341"/>
      <c r="O7" s="341"/>
      <c r="P7" s="341"/>
      <c r="Q7" s="341"/>
      <c r="R7" s="341"/>
      <c r="S7" s="310"/>
      <c r="T7" s="310"/>
      <c r="U7" s="340"/>
      <c r="V7" s="340"/>
      <c r="W7" s="260"/>
      <c r="X7" s="260"/>
      <c r="Y7" s="301"/>
      <c r="Z7" s="301"/>
      <c r="AA7" s="301"/>
      <c r="AB7" s="301"/>
      <c r="AC7" s="301"/>
      <c r="AD7" s="301"/>
      <c r="AE7" s="337"/>
      <c r="AF7" s="337"/>
      <c r="AG7" s="337"/>
      <c r="AH7" s="337"/>
      <c r="AI7" s="337"/>
      <c r="AJ7" s="337"/>
      <c r="AK7" s="337"/>
      <c r="AL7" s="337"/>
      <c r="AM7" s="337"/>
    </row>
    <row r="8" spans="1:39" s="203" customFormat="1" ht="15.75" customHeight="1" thickBot="1">
      <c r="A8" s="298"/>
      <c r="B8" s="298"/>
      <c r="C8" s="302"/>
      <c r="D8" s="773" t="s">
        <v>5</v>
      </c>
      <c r="E8" s="775"/>
      <c r="F8" s="342"/>
      <c r="G8" s="343"/>
      <c r="H8" s="782" t="str">
        <f>Mannschaften!H3</f>
        <v>M U14</v>
      </c>
      <c r="I8" s="782"/>
      <c r="J8" s="782"/>
      <c r="K8" s="782"/>
      <c r="L8" s="782"/>
      <c r="M8" s="782"/>
      <c r="N8" s="782"/>
      <c r="O8" s="343"/>
      <c r="P8" s="343"/>
      <c r="Q8" s="343"/>
      <c r="R8" s="773" t="s">
        <v>6</v>
      </c>
      <c r="S8" s="775"/>
      <c r="U8" s="264"/>
      <c r="V8" s="264"/>
      <c r="W8" s="260"/>
      <c r="X8" s="260"/>
      <c r="Y8" s="301"/>
      <c r="Z8" s="301"/>
      <c r="AA8" s="301"/>
      <c r="AB8" s="301"/>
      <c r="AC8" s="301"/>
      <c r="AD8" s="301"/>
      <c r="AE8" s="337"/>
      <c r="AF8" s="337"/>
      <c r="AG8" s="337"/>
      <c r="AH8" s="337"/>
      <c r="AI8" s="337"/>
      <c r="AJ8" s="337"/>
      <c r="AK8" s="337"/>
      <c r="AL8" s="337"/>
      <c r="AM8" s="337"/>
    </row>
    <row r="9" spans="1:39" s="203" customFormat="1" ht="15.75" customHeight="1">
      <c r="A9" s="298"/>
      <c r="B9" s="298"/>
      <c r="C9" s="302"/>
      <c r="D9" s="314" t="s">
        <v>41</v>
      </c>
      <c r="E9" s="314" t="str">
        <f>'Gruppe A'!J28</f>
        <v>VfL Kellinghusen</v>
      </c>
      <c r="F9" s="313"/>
      <c r="R9" s="314" t="s">
        <v>41</v>
      </c>
      <c r="S9" s="314" t="str">
        <f>'Gruppe B'!J25</f>
        <v>TSV LoLa</v>
      </c>
      <c r="U9" s="264"/>
      <c r="V9" s="264"/>
      <c r="W9" s="260"/>
      <c r="X9" s="260"/>
      <c r="Y9" s="301"/>
      <c r="Z9" s="301"/>
      <c r="AA9" s="301"/>
      <c r="AB9" s="301"/>
      <c r="AC9" s="301"/>
      <c r="AD9" s="301"/>
      <c r="AE9" s="337"/>
      <c r="AF9" s="337"/>
      <c r="AG9" s="337"/>
      <c r="AH9" s="337"/>
      <c r="AI9" s="337"/>
      <c r="AJ9" s="337"/>
      <c r="AK9" s="337"/>
      <c r="AL9" s="337"/>
      <c r="AM9" s="337"/>
    </row>
    <row r="10" spans="1:39" s="203" customFormat="1" ht="15.75" customHeight="1">
      <c r="A10" s="298"/>
      <c r="B10" s="298"/>
      <c r="C10" s="302"/>
      <c r="D10" s="319" t="s">
        <v>42</v>
      </c>
      <c r="E10" s="319" t="str">
        <f>'Gruppe A'!J29</f>
        <v>Berliner Turnerschaft</v>
      </c>
      <c r="F10" s="313"/>
      <c r="G10" s="788" t="s">
        <v>94</v>
      </c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319" t="s">
        <v>42</v>
      </c>
      <c r="S10" s="344" t="str">
        <f>'Gruppe B'!J26</f>
        <v>Güstrower SC 09</v>
      </c>
      <c r="U10" s="264"/>
      <c r="V10" s="264"/>
      <c r="W10" s="260"/>
      <c r="X10" s="260"/>
      <c r="Y10" s="301"/>
      <c r="Z10" s="301"/>
      <c r="AA10" s="301"/>
      <c r="AB10" s="301"/>
      <c r="AC10" s="301"/>
      <c r="AD10" s="301"/>
      <c r="AE10" s="337"/>
      <c r="AF10" s="337"/>
      <c r="AG10" s="337"/>
      <c r="AH10" s="337"/>
      <c r="AI10" s="337"/>
      <c r="AJ10" s="337"/>
      <c r="AK10" s="337"/>
      <c r="AL10" s="337"/>
      <c r="AM10" s="337"/>
    </row>
    <row r="11" spans="1:39" s="203" customFormat="1" ht="15.75" customHeight="1" thickBot="1">
      <c r="A11" s="298"/>
      <c r="B11" s="298"/>
      <c r="C11" s="302"/>
      <c r="D11" s="319" t="s">
        <v>43</v>
      </c>
      <c r="E11" s="319" t="str">
        <f>'Gruppe A'!J30</f>
        <v>SG Bademeusel</v>
      </c>
      <c r="F11" s="313"/>
      <c r="R11" s="323" t="s">
        <v>43</v>
      </c>
      <c r="S11" s="323" t="str">
        <f>'Gruppe A'!J31</f>
        <v>Großenasper SV</v>
      </c>
      <c r="U11" s="264"/>
      <c r="V11" s="264"/>
      <c r="W11" s="260"/>
      <c r="X11" s="260"/>
      <c r="Y11" s="301"/>
      <c r="Z11" s="301"/>
      <c r="AA11" s="301"/>
      <c r="AB11" s="301"/>
      <c r="AC11" s="301"/>
      <c r="AD11" s="301"/>
      <c r="AE11" s="337"/>
      <c r="AF11" s="337"/>
      <c r="AG11" s="337"/>
      <c r="AH11" s="337"/>
      <c r="AI11" s="337"/>
      <c r="AJ11" s="337"/>
      <c r="AK11" s="337"/>
      <c r="AL11" s="337"/>
      <c r="AM11" s="337"/>
    </row>
    <row r="12" spans="1:39" s="203" customFormat="1" ht="15.75" customHeight="1" hidden="1" thickBot="1">
      <c r="A12" s="298"/>
      <c r="B12" s="298"/>
      <c r="C12" s="302"/>
      <c r="D12" s="323" t="s">
        <v>44</v>
      </c>
      <c r="E12" s="323" t="str">
        <f>'Gruppe A'!J31</f>
        <v>Großenasper SV</v>
      </c>
      <c r="F12" s="313"/>
      <c r="R12" s="576"/>
      <c r="S12" s="576"/>
      <c r="U12" s="264"/>
      <c r="V12" s="264"/>
      <c r="W12" s="260"/>
      <c r="X12" s="260"/>
      <c r="Y12" s="301"/>
      <c r="Z12" s="301"/>
      <c r="AA12" s="301"/>
      <c r="AB12" s="301"/>
      <c r="AC12" s="301"/>
      <c r="AD12" s="301"/>
      <c r="AE12" s="337"/>
      <c r="AF12" s="337"/>
      <c r="AG12" s="337"/>
      <c r="AH12" s="337"/>
      <c r="AI12" s="337"/>
      <c r="AJ12" s="337"/>
      <c r="AK12" s="337"/>
      <c r="AL12" s="337"/>
      <c r="AM12" s="337"/>
    </row>
    <row r="13" spans="1:39" s="203" customFormat="1" ht="15.75" customHeight="1">
      <c r="A13" s="298"/>
      <c r="B13" s="298"/>
      <c r="C13" s="302"/>
      <c r="D13"/>
      <c r="E13"/>
      <c r="F13" s="313"/>
      <c r="R13"/>
      <c r="S13"/>
      <c r="U13" s="264"/>
      <c r="V13" s="264"/>
      <c r="W13" s="260"/>
      <c r="X13" s="260"/>
      <c r="Y13" s="301"/>
      <c r="Z13" s="301"/>
      <c r="AA13" s="301"/>
      <c r="AB13" s="301"/>
      <c r="AC13" s="301"/>
      <c r="AD13" s="301"/>
      <c r="AE13" s="337"/>
      <c r="AF13" s="337"/>
      <c r="AG13" s="337"/>
      <c r="AH13" s="337"/>
      <c r="AI13" s="337"/>
      <c r="AJ13" s="337"/>
      <c r="AK13" s="337"/>
      <c r="AL13" s="337"/>
      <c r="AM13" s="337"/>
    </row>
    <row r="14" spans="1:39" s="203" customFormat="1" ht="7.5" customHeight="1" thickBot="1">
      <c r="A14" s="788"/>
      <c r="B14" s="788"/>
      <c r="C14" s="788"/>
      <c r="D14" s="788"/>
      <c r="E14" s="788"/>
      <c r="F14" s="788"/>
      <c r="G14" s="788"/>
      <c r="H14" s="788"/>
      <c r="I14" s="788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U14" s="264"/>
      <c r="V14" s="264"/>
      <c r="W14" s="260"/>
      <c r="X14" s="260"/>
      <c r="Y14" s="301"/>
      <c r="Z14" s="301"/>
      <c r="AA14" s="301"/>
      <c r="AB14" s="301"/>
      <c r="AC14" s="301"/>
      <c r="AD14" s="301"/>
      <c r="AE14" s="337"/>
      <c r="AF14" s="337"/>
      <c r="AG14" s="337"/>
      <c r="AH14" s="337"/>
      <c r="AI14" s="337"/>
      <c r="AJ14" s="337"/>
      <c r="AK14" s="337"/>
      <c r="AL14" s="337"/>
      <c r="AM14" s="337"/>
    </row>
    <row r="15" spans="1:39" s="203" customFormat="1" ht="15" customHeight="1">
      <c r="A15" s="759" t="s">
        <v>0</v>
      </c>
      <c r="B15" s="759" t="s">
        <v>1</v>
      </c>
      <c r="C15" s="757" t="s">
        <v>130</v>
      </c>
      <c r="D15" s="759" t="s">
        <v>128</v>
      </c>
      <c r="E15" s="765" t="s">
        <v>2</v>
      </c>
      <c r="F15" s="750" t="s">
        <v>7</v>
      </c>
      <c r="G15" s="750" t="s">
        <v>3</v>
      </c>
      <c r="H15" s="750"/>
      <c r="I15" s="767"/>
      <c r="J15" s="834" t="s">
        <v>8</v>
      </c>
      <c r="K15" s="835"/>
      <c r="L15" s="835"/>
      <c r="M15" s="835"/>
      <c r="N15" s="835"/>
      <c r="O15" s="835"/>
      <c r="P15" s="835"/>
      <c r="Q15" s="835"/>
      <c r="R15" s="836"/>
      <c r="S15" s="325" t="s">
        <v>133</v>
      </c>
      <c r="T15" s="812" t="s">
        <v>61</v>
      </c>
      <c r="U15" s="813"/>
      <c r="V15" s="814"/>
      <c r="W15" s="345" t="s">
        <v>99</v>
      </c>
      <c r="X15" s="260" t="s">
        <v>100</v>
      </c>
      <c r="Y15" s="752" t="s">
        <v>146</v>
      </c>
      <c r="Z15" s="752" t="s">
        <v>147</v>
      </c>
      <c r="AA15" s="752" t="s">
        <v>148</v>
      </c>
      <c r="AB15" s="752" t="s">
        <v>149</v>
      </c>
      <c r="AC15" s="752" t="s">
        <v>150</v>
      </c>
      <c r="AD15" s="752" t="s">
        <v>151</v>
      </c>
      <c r="AE15" s="805" t="s">
        <v>36</v>
      </c>
      <c r="AF15" s="806"/>
      <c r="AG15" s="807"/>
      <c r="AH15" s="805" t="s">
        <v>123</v>
      </c>
      <c r="AI15" s="806"/>
      <c r="AJ15" s="807"/>
      <c r="AK15" s="805" t="s">
        <v>35</v>
      </c>
      <c r="AL15" s="806"/>
      <c r="AM15" s="807"/>
    </row>
    <row r="16" spans="1:39" s="203" customFormat="1" ht="15" customHeight="1" thickBot="1">
      <c r="A16" s="842"/>
      <c r="B16" s="842"/>
      <c r="C16" s="833"/>
      <c r="D16" s="842"/>
      <c r="E16" s="843"/>
      <c r="F16" s="818"/>
      <c r="G16" s="818"/>
      <c r="H16" s="818"/>
      <c r="I16" s="819"/>
      <c r="J16" s="839" t="s">
        <v>129</v>
      </c>
      <c r="K16" s="837"/>
      <c r="L16" s="837"/>
      <c r="M16" s="837" t="s">
        <v>121</v>
      </c>
      <c r="N16" s="837"/>
      <c r="O16" s="837"/>
      <c r="P16" s="837" t="s">
        <v>122</v>
      </c>
      <c r="Q16" s="837"/>
      <c r="R16" s="838"/>
      <c r="S16" s="346" t="s">
        <v>4</v>
      </c>
      <c r="T16" s="815"/>
      <c r="U16" s="816"/>
      <c r="V16" s="817"/>
      <c r="W16" s="345"/>
      <c r="X16" s="260"/>
      <c r="Y16" s="804"/>
      <c r="Z16" s="804"/>
      <c r="AA16" s="804"/>
      <c r="AB16" s="804"/>
      <c r="AC16" s="804"/>
      <c r="AD16" s="804"/>
      <c r="AE16" s="808"/>
      <c r="AF16" s="809"/>
      <c r="AG16" s="810"/>
      <c r="AH16" s="808"/>
      <c r="AI16" s="809"/>
      <c r="AJ16" s="810"/>
      <c r="AK16" s="808"/>
      <c r="AL16" s="809"/>
      <c r="AM16" s="810"/>
    </row>
    <row r="17" spans="1:39" s="264" customFormat="1" ht="10.5" customHeight="1">
      <c r="A17" s="844">
        <v>10</v>
      </c>
      <c r="B17" s="846">
        <v>0.3958333333333333</v>
      </c>
      <c r="C17" s="844">
        <v>10</v>
      </c>
      <c r="D17" s="840">
        <v>1</v>
      </c>
      <c r="E17" s="473" t="s">
        <v>54</v>
      </c>
      <c r="F17" s="469" t="s">
        <v>7</v>
      </c>
      <c r="G17" s="826" t="s">
        <v>56</v>
      </c>
      <c r="H17" s="826"/>
      <c r="I17" s="827"/>
      <c r="J17" s="828" t="s">
        <v>60</v>
      </c>
      <c r="K17" s="829"/>
      <c r="L17" s="829"/>
      <c r="M17" s="829"/>
      <c r="N17" s="829"/>
      <c r="O17" s="829"/>
      <c r="P17" s="829"/>
      <c r="Q17" s="829"/>
      <c r="R17" s="830"/>
      <c r="S17" s="351" t="s">
        <v>58</v>
      </c>
      <c r="T17" s="820"/>
      <c r="U17" s="821"/>
      <c r="V17" s="822"/>
      <c r="W17" s="459" t="s">
        <v>60</v>
      </c>
      <c r="X17" s="470">
        <f aca="true" t="shared" si="0" ref="X17:X34">$J$6</f>
        <v>41693</v>
      </c>
      <c r="Y17" s="471"/>
      <c r="Z17" s="471"/>
      <c r="AA17" s="471"/>
      <c r="AB17" s="471"/>
      <c r="AC17" s="471"/>
      <c r="AD17" s="471"/>
      <c r="AE17" s="801"/>
      <c r="AF17" s="802"/>
      <c r="AG17" s="803"/>
      <c r="AH17" s="801"/>
      <c r="AI17" s="802"/>
      <c r="AJ17" s="803"/>
      <c r="AK17" s="801"/>
      <c r="AL17" s="802"/>
      <c r="AM17" s="803"/>
    </row>
    <row r="18" spans="1:39" s="264" customFormat="1" ht="15" customHeight="1" thickBot="1">
      <c r="A18" s="845"/>
      <c r="B18" s="847"/>
      <c r="C18" s="845"/>
      <c r="D18" s="841"/>
      <c r="E18" s="474" t="str">
        <f>S10</f>
        <v>Güstrower SC 09</v>
      </c>
      <c r="F18" s="155" t="s">
        <v>7</v>
      </c>
      <c r="G18" s="831" t="str">
        <f>E11</f>
        <v>SG Bademeusel</v>
      </c>
      <c r="H18" s="831"/>
      <c r="I18" s="832"/>
      <c r="J18" s="509">
        <v>3</v>
      </c>
      <c r="K18" s="510" t="s">
        <v>7</v>
      </c>
      <c r="L18" s="511">
        <v>11</v>
      </c>
      <c r="M18" s="512">
        <v>8</v>
      </c>
      <c r="N18" s="510" t="s">
        <v>7</v>
      </c>
      <c r="O18" s="511">
        <v>11</v>
      </c>
      <c r="P18" s="512"/>
      <c r="Q18" s="510" t="s">
        <v>7</v>
      </c>
      <c r="R18" s="513"/>
      <c r="S18" s="347" t="str">
        <f>IF(E9="","",E9)</f>
        <v>VfL Kellinghusen</v>
      </c>
      <c r="T18" s="823" t="s">
        <v>668</v>
      </c>
      <c r="U18" s="824"/>
      <c r="V18" s="825"/>
      <c r="W18" s="459" t="s">
        <v>60</v>
      </c>
      <c r="X18" s="470">
        <f t="shared" si="0"/>
        <v>41693</v>
      </c>
      <c r="Y18" s="466">
        <f>IF(L18="","",IF(J18&gt;L18,1,0))</f>
        <v>0</v>
      </c>
      <c r="Z18" s="466">
        <f>IF(O18="","",IF(M18&gt;O18,1,0))</f>
        <v>0</v>
      </c>
      <c r="AA18" s="466">
        <f>IF(R18="","",IF(P18&gt;R18,1,0))</f>
      </c>
      <c r="AB18" s="466">
        <f>IF(Y18="","",IF(Y18=0,1,0))</f>
        <v>1</v>
      </c>
      <c r="AC18" s="466">
        <f>IF(Z18="","",IF(Z18=0,1,0))</f>
        <v>1</v>
      </c>
      <c r="AD18" s="466">
        <f>IF(AA18="","",IF(AA18=0,1,0))</f>
      </c>
      <c r="AE18" s="348">
        <f>IF(O18="","",IF(P18=0,J18+M18,J18+M18+P18))</f>
        <v>11</v>
      </c>
      <c r="AF18" s="349" t="s">
        <v>7</v>
      </c>
      <c r="AG18" s="350">
        <f>IF(O18="","",IF(R18="",L18+O18,L18+O18+R18))</f>
        <v>22</v>
      </c>
      <c r="AH18" s="348">
        <f>IF(Z18="","",IF(AA18="",Y18+Z18,Y18+Z18+AA18))</f>
        <v>0</v>
      </c>
      <c r="AI18" s="349" t="s">
        <v>7</v>
      </c>
      <c r="AJ18" s="350">
        <f>IF(Z18="","",IF(AD18="",AB18+AC18,AB18+AC18+AD18))</f>
        <v>2</v>
      </c>
      <c r="AK18" s="348">
        <f>IF(Z18="","",IF(AH18=2,2,IF(AJ18=2,0,"")))</f>
        <v>0</v>
      </c>
      <c r="AL18" s="349" t="s">
        <v>7</v>
      </c>
      <c r="AM18" s="350">
        <f>IF(AK18="","",IF(AJ18=2,2,0))</f>
        <v>2</v>
      </c>
    </row>
    <row r="19" spans="1:39" s="264" customFormat="1" ht="10.5" customHeight="1">
      <c r="A19" s="844">
        <v>11</v>
      </c>
      <c r="B19" s="846">
        <f>B17+'Spielplan-Sa'!AP$22</f>
        <v>0.4236111111111111</v>
      </c>
      <c r="C19" s="844">
        <v>11</v>
      </c>
      <c r="D19" s="840">
        <v>1</v>
      </c>
      <c r="E19" s="473" t="s">
        <v>55</v>
      </c>
      <c r="F19" s="469" t="s">
        <v>7</v>
      </c>
      <c r="G19" s="826" t="s">
        <v>57</v>
      </c>
      <c r="H19" s="826"/>
      <c r="I19" s="827"/>
      <c r="J19" s="828" t="s">
        <v>60</v>
      </c>
      <c r="K19" s="829"/>
      <c r="L19" s="829"/>
      <c r="M19" s="829"/>
      <c r="N19" s="829"/>
      <c r="O19" s="829"/>
      <c r="P19" s="829"/>
      <c r="Q19" s="829"/>
      <c r="R19" s="830"/>
      <c r="S19" s="351" t="s">
        <v>59</v>
      </c>
      <c r="T19" s="820"/>
      <c r="U19" s="821"/>
      <c r="V19" s="822"/>
      <c r="W19" s="459" t="s">
        <v>60</v>
      </c>
      <c r="X19" s="470">
        <f t="shared" si="0"/>
        <v>41693</v>
      </c>
      <c r="Y19" s="471"/>
      <c r="Z19" s="471"/>
      <c r="AA19" s="471"/>
      <c r="AB19" s="471"/>
      <c r="AC19" s="471"/>
      <c r="AD19" s="471"/>
      <c r="AE19" s="801"/>
      <c r="AF19" s="802"/>
      <c r="AG19" s="803"/>
      <c r="AH19" s="801"/>
      <c r="AI19" s="802"/>
      <c r="AJ19" s="803"/>
      <c r="AK19" s="801"/>
      <c r="AL19" s="802"/>
      <c r="AM19" s="803"/>
    </row>
    <row r="20" spans="1:39" s="264" customFormat="1" ht="15" customHeight="1" thickBot="1">
      <c r="A20" s="845"/>
      <c r="B20" s="847"/>
      <c r="C20" s="845"/>
      <c r="D20" s="841"/>
      <c r="E20" s="474" t="str">
        <f>E10</f>
        <v>Berliner Turnerschaft</v>
      </c>
      <c r="F20" s="155" t="s">
        <v>7</v>
      </c>
      <c r="G20" s="831" t="str">
        <f>S11</f>
        <v>Großenasper SV</v>
      </c>
      <c r="H20" s="831"/>
      <c r="I20" s="832"/>
      <c r="J20" s="509">
        <v>11</v>
      </c>
      <c r="K20" s="510" t="s">
        <v>7</v>
      </c>
      <c r="L20" s="511">
        <v>8</v>
      </c>
      <c r="M20" s="512">
        <v>11</v>
      </c>
      <c r="N20" s="510" t="s">
        <v>7</v>
      </c>
      <c r="O20" s="511">
        <v>8</v>
      </c>
      <c r="P20" s="512"/>
      <c r="Q20" s="510" t="s">
        <v>7</v>
      </c>
      <c r="R20" s="513"/>
      <c r="S20" s="347" t="str">
        <f>IF(S9="","",S9)</f>
        <v>TSV LoLa</v>
      </c>
      <c r="T20" s="823" t="s">
        <v>327</v>
      </c>
      <c r="U20" s="824"/>
      <c r="V20" s="825"/>
      <c r="W20" s="459" t="s">
        <v>60</v>
      </c>
      <c r="X20" s="470">
        <f t="shared" si="0"/>
        <v>41693</v>
      </c>
      <c r="Y20" s="466">
        <f>IF(L20="","",IF(J20&gt;L20,1,0))</f>
        <v>1</v>
      </c>
      <c r="Z20" s="466">
        <f>IF(O20="","",IF(M20&gt;O20,1,0))</f>
        <v>1</v>
      </c>
      <c r="AA20" s="466">
        <f>IF(R20="","",IF(P20&gt;R20,1,0))</f>
      </c>
      <c r="AB20" s="466">
        <f>IF(Y20="","",IF(Y20=0,1,0))</f>
        <v>0</v>
      </c>
      <c r="AC20" s="466">
        <f>IF(Z20="","",IF(Z20=0,1,0))</f>
        <v>0</v>
      </c>
      <c r="AD20" s="466">
        <f>IF(AA20="","",IF(AA20=0,1,0))</f>
      </c>
      <c r="AE20" s="348">
        <f>IF(O20="","",IF(P20=0,J20+M20,J20+M20+P20))</f>
        <v>22</v>
      </c>
      <c r="AF20" s="349" t="s">
        <v>7</v>
      </c>
      <c r="AG20" s="350">
        <f>IF(O20="","",IF(R20="",L20+O20,L20+O20+R20))</f>
        <v>16</v>
      </c>
      <c r="AH20" s="348">
        <f>IF(Z20="","",IF(AA20="",Y20+Z20,Y20+Z20+AA20))</f>
        <v>2</v>
      </c>
      <c r="AI20" s="349" t="s">
        <v>7</v>
      </c>
      <c r="AJ20" s="350">
        <f>IF(Z20="","",IF(AD20="",AB20+AC20,AB20+AC20+AD20))</f>
        <v>0</v>
      </c>
      <c r="AK20" s="348">
        <f>IF(Z20="","",IF(AH20=2,2,IF(AJ20=2,0,"")))</f>
        <v>2</v>
      </c>
      <c r="AL20" s="349" t="s">
        <v>7</v>
      </c>
      <c r="AM20" s="350">
        <f>IF(AK20="","",IF(AJ20=2,2,0))</f>
        <v>0</v>
      </c>
    </row>
    <row r="21" spans="1:39" s="264" customFormat="1" ht="10.5" customHeight="1" hidden="1">
      <c r="A21" s="844">
        <v>12</v>
      </c>
      <c r="B21" s="846">
        <f>B19+'Spielplan-Sa'!AP$22</f>
        <v>0.4513888888888889</v>
      </c>
      <c r="C21" s="844">
        <v>12</v>
      </c>
      <c r="D21" s="840">
        <v>1</v>
      </c>
      <c r="E21" s="473" t="s">
        <v>52</v>
      </c>
      <c r="F21" s="469" t="s">
        <v>7</v>
      </c>
      <c r="G21" s="826" t="s">
        <v>408</v>
      </c>
      <c r="H21" s="826"/>
      <c r="I21" s="827"/>
      <c r="J21" s="828" t="s">
        <v>401</v>
      </c>
      <c r="K21" s="829"/>
      <c r="L21" s="829"/>
      <c r="M21" s="829"/>
      <c r="N21" s="829"/>
      <c r="O21" s="829"/>
      <c r="P21" s="829"/>
      <c r="Q21" s="829"/>
      <c r="R21" s="830"/>
      <c r="S21" s="351" t="s">
        <v>56</v>
      </c>
      <c r="T21" s="820"/>
      <c r="U21" s="821"/>
      <c r="V21" s="822"/>
      <c r="W21" s="459" t="s">
        <v>47</v>
      </c>
      <c r="X21" s="470">
        <f t="shared" si="0"/>
        <v>41693</v>
      </c>
      <c r="Y21" s="471"/>
      <c r="Z21" s="471"/>
      <c r="AA21" s="471"/>
      <c r="AB21" s="471"/>
      <c r="AC21" s="471"/>
      <c r="AD21" s="471"/>
      <c r="AE21" s="801"/>
      <c r="AF21" s="802"/>
      <c r="AG21" s="803"/>
      <c r="AH21" s="801"/>
      <c r="AI21" s="802"/>
      <c r="AJ21" s="803"/>
      <c r="AK21" s="801"/>
      <c r="AL21" s="802"/>
      <c r="AM21" s="803"/>
    </row>
    <row r="22" spans="1:39" s="264" customFormat="1" ht="15" customHeight="1" hidden="1" thickBot="1">
      <c r="A22" s="845"/>
      <c r="B22" s="847"/>
      <c r="C22" s="845"/>
      <c r="D22" s="841"/>
      <c r="E22" s="474" t="str">
        <f>E12</f>
        <v>Großenasper SV</v>
      </c>
      <c r="F22" s="155" t="s">
        <v>7</v>
      </c>
      <c r="G22" s="831" t="str">
        <f>IF(AK18="","",IF(AK18=2,G18,E18))</f>
        <v>Güstrower SC 09</v>
      </c>
      <c r="H22" s="831"/>
      <c r="I22" s="832"/>
      <c r="J22" s="509"/>
      <c r="K22" s="510" t="s">
        <v>7</v>
      </c>
      <c r="L22" s="511"/>
      <c r="M22" s="512"/>
      <c r="N22" s="510" t="s">
        <v>7</v>
      </c>
      <c r="O22" s="511"/>
      <c r="P22" s="512"/>
      <c r="Q22" s="510" t="s">
        <v>7</v>
      </c>
      <c r="R22" s="513"/>
      <c r="S22" s="347" t="str">
        <f>IF(S11="","",S11)</f>
        <v>Großenasper SV</v>
      </c>
      <c r="T22" s="823"/>
      <c r="U22" s="824"/>
      <c r="V22" s="825"/>
      <c r="W22" s="459" t="s">
        <v>47</v>
      </c>
      <c r="X22" s="470">
        <f t="shared" si="0"/>
        <v>41693</v>
      </c>
      <c r="Y22" s="466">
        <f>IF(L22="","",IF(J22&gt;L22,1,0))</f>
      </c>
      <c r="Z22" s="466">
        <f>IF(O22="","",IF(M22&gt;O22,1,0))</f>
      </c>
      <c r="AA22" s="466">
        <f>IF(R22="","",IF(P22&gt;R22,1,0))</f>
      </c>
      <c r="AB22" s="466">
        <f>IF(Y22="","",IF(Y22=0,1,0))</f>
      </c>
      <c r="AC22" s="466">
        <f>IF(Z22="","",IF(Z22=0,1,0))</f>
      </c>
      <c r="AD22" s="466">
        <f>IF(AA22="","",IF(AA22=0,1,0))</f>
      </c>
      <c r="AE22" s="348">
        <f>IF(O22="","",IF(P22=0,J22+M22,J22+M22+P22))</f>
      </c>
      <c r="AF22" s="349" t="s">
        <v>7</v>
      </c>
      <c r="AG22" s="350">
        <f>IF(O22="","",IF(R22="",L22+O22,L22+O22+R22))</f>
      </c>
      <c r="AH22" s="348">
        <f>IF(Z22="","",IF(AA22="",Y22+Z22,Y22+Z22+AA22))</f>
      </c>
      <c r="AI22" s="349" t="s">
        <v>7</v>
      </c>
      <c r="AJ22" s="350">
        <f>IF(Z22="","",IF(AD22="",AB22+AC22,AB22+AC22+AD22))</f>
      </c>
      <c r="AK22" s="348">
        <f>IF(Z22="","",IF(AH22=2,2,IF(AJ22=2,0,"")))</f>
      </c>
      <c r="AL22" s="349" t="s">
        <v>7</v>
      </c>
      <c r="AM22" s="350">
        <f>IF(AK22="","",IF(AJ22=2,2,0))</f>
      </c>
    </row>
    <row r="23" spans="1:39" s="264" customFormat="1" ht="10.5" customHeight="1">
      <c r="A23" s="844">
        <v>12</v>
      </c>
      <c r="B23" s="846">
        <f>B19+'Spielplan-Sa'!AP$22</f>
        <v>0.4513888888888889</v>
      </c>
      <c r="C23" s="844">
        <v>12</v>
      </c>
      <c r="D23" s="840">
        <v>1</v>
      </c>
      <c r="E23" s="473" t="s">
        <v>58</v>
      </c>
      <c r="F23" s="469" t="s">
        <v>7</v>
      </c>
      <c r="G23" s="826" t="s">
        <v>409</v>
      </c>
      <c r="H23" s="826"/>
      <c r="I23" s="827"/>
      <c r="J23" s="828" t="s">
        <v>48</v>
      </c>
      <c r="K23" s="829"/>
      <c r="L23" s="829"/>
      <c r="M23" s="829"/>
      <c r="N23" s="829"/>
      <c r="O23" s="829"/>
      <c r="P23" s="829"/>
      <c r="Q23" s="829"/>
      <c r="R23" s="830"/>
      <c r="S23" s="351" t="s">
        <v>410</v>
      </c>
      <c r="T23" s="820"/>
      <c r="U23" s="821"/>
      <c r="V23" s="822"/>
      <c r="W23" s="459" t="s">
        <v>48</v>
      </c>
      <c r="X23" s="470">
        <f t="shared" si="0"/>
        <v>41693</v>
      </c>
      <c r="Y23" s="471"/>
      <c r="Z23" s="471"/>
      <c r="AA23" s="471"/>
      <c r="AB23" s="471"/>
      <c r="AC23" s="471"/>
      <c r="AD23" s="471"/>
      <c r="AE23" s="801"/>
      <c r="AF23" s="802"/>
      <c r="AG23" s="803"/>
      <c r="AH23" s="801"/>
      <c r="AI23" s="802"/>
      <c r="AJ23" s="803"/>
      <c r="AK23" s="801"/>
      <c r="AL23" s="802"/>
      <c r="AM23" s="803"/>
    </row>
    <row r="24" spans="1:39" s="264" customFormat="1" ht="15" customHeight="1" thickBot="1">
      <c r="A24" s="845"/>
      <c r="B24" s="847"/>
      <c r="C24" s="845"/>
      <c r="D24" s="841"/>
      <c r="E24" s="474" t="str">
        <f>E9</f>
        <v>VfL Kellinghusen</v>
      </c>
      <c r="F24" s="155" t="s">
        <v>7</v>
      </c>
      <c r="G24" s="831" t="str">
        <f>IF(AK18="","",IF(AK18=2,E18,G18))</f>
        <v>SG Bademeusel</v>
      </c>
      <c r="H24" s="831"/>
      <c r="I24" s="832"/>
      <c r="J24" s="509">
        <v>11</v>
      </c>
      <c r="K24" s="510" t="s">
        <v>7</v>
      </c>
      <c r="L24" s="511">
        <v>7</v>
      </c>
      <c r="M24" s="512">
        <v>11</v>
      </c>
      <c r="N24" s="510" t="s">
        <v>7</v>
      </c>
      <c r="O24" s="511">
        <v>3</v>
      </c>
      <c r="P24" s="512"/>
      <c r="Q24" s="510" t="s">
        <v>7</v>
      </c>
      <c r="R24" s="513"/>
      <c r="S24" s="347" t="str">
        <f>IF(AK20="","",IF(AK20=0,E20,G20))</f>
        <v>Großenasper SV</v>
      </c>
      <c r="T24" s="823" t="s">
        <v>668</v>
      </c>
      <c r="U24" s="824"/>
      <c r="V24" s="825"/>
      <c r="W24" s="459" t="s">
        <v>48</v>
      </c>
      <c r="X24" s="470">
        <f t="shared" si="0"/>
        <v>41693</v>
      </c>
      <c r="Y24" s="466">
        <f>IF(L24="","",IF(J24&gt;L24,1,0))</f>
        <v>1</v>
      </c>
      <c r="Z24" s="466">
        <f>IF(O24="","",IF(M24&gt;O24,1,0))</f>
        <v>1</v>
      </c>
      <c r="AA24" s="466">
        <f>IF(R24="","",IF(P24&gt;R24,1,0))</f>
      </c>
      <c r="AB24" s="466">
        <f>IF(Y24="","",IF(Y24=0,1,0))</f>
        <v>0</v>
      </c>
      <c r="AC24" s="466">
        <f>IF(Z24="","",IF(Z24=0,1,0))</f>
        <v>0</v>
      </c>
      <c r="AD24" s="466">
        <f>IF(AA24="","",IF(AA24=0,1,0))</f>
      </c>
      <c r="AE24" s="348">
        <f>IF(O24="","",IF(P24=0,J24+M24,J24+M24+P24))</f>
        <v>22</v>
      </c>
      <c r="AF24" s="349" t="s">
        <v>7</v>
      </c>
      <c r="AG24" s="350">
        <f>IF(O24="","",IF(R24="",L24+O24,L24+O24+R24))</f>
        <v>10</v>
      </c>
      <c r="AH24" s="348">
        <f>IF(Z24="","",IF(AA24="",Y24+Z24,Y24+Z24+AA24))</f>
        <v>2</v>
      </c>
      <c r="AI24" s="349" t="s">
        <v>7</v>
      </c>
      <c r="AJ24" s="350">
        <f>IF(Z24="","",IF(AD24="",AB24+AC24,AB24+AC24+AD24))</f>
        <v>0</v>
      </c>
      <c r="AK24" s="348">
        <f>IF(Z24="","",IF(AH24=2,2,IF(AJ24=2,0,"")))</f>
        <v>2</v>
      </c>
      <c r="AL24" s="349" t="s">
        <v>7</v>
      </c>
      <c r="AM24" s="350">
        <f>IF(AK24="","",IF(AJ24=2,2,0))</f>
        <v>0</v>
      </c>
    </row>
    <row r="25" spans="1:39" s="264" customFormat="1" ht="10.5" customHeight="1">
      <c r="A25" s="844">
        <v>13</v>
      </c>
      <c r="B25" s="846">
        <f>B23+'Spielplan-Sa'!AP$22</f>
        <v>0.4791666666666667</v>
      </c>
      <c r="C25" s="844">
        <v>13</v>
      </c>
      <c r="D25" s="840">
        <v>1</v>
      </c>
      <c r="E25" s="473" t="s">
        <v>408</v>
      </c>
      <c r="F25" s="469"/>
      <c r="G25" s="826" t="s">
        <v>410</v>
      </c>
      <c r="H25" s="826"/>
      <c r="I25" s="827"/>
      <c r="J25" s="828" t="s">
        <v>49</v>
      </c>
      <c r="K25" s="829"/>
      <c r="L25" s="829"/>
      <c r="M25" s="829"/>
      <c r="N25" s="829"/>
      <c r="O25" s="829"/>
      <c r="P25" s="829"/>
      <c r="Q25" s="829"/>
      <c r="R25" s="830"/>
      <c r="S25" s="351" t="s">
        <v>664</v>
      </c>
      <c r="T25" s="820"/>
      <c r="U25" s="821"/>
      <c r="V25" s="822"/>
      <c r="W25" s="459"/>
      <c r="X25" s="470"/>
      <c r="Y25" s="471"/>
      <c r="Z25" s="471"/>
      <c r="AA25" s="471"/>
      <c r="AB25" s="471"/>
      <c r="AC25" s="471"/>
      <c r="AD25" s="471"/>
      <c r="AE25" s="801"/>
      <c r="AF25" s="802"/>
      <c r="AG25" s="803"/>
      <c r="AH25" s="801"/>
      <c r="AI25" s="802"/>
      <c r="AJ25" s="803"/>
      <c r="AK25" s="801"/>
      <c r="AL25" s="802"/>
      <c r="AM25" s="803"/>
    </row>
    <row r="26" spans="1:39" s="264" customFormat="1" ht="15" customHeight="1" thickBot="1">
      <c r="A26" s="845"/>
      <c r="B26" s="847"/>
      <c r="C26" s="845"/>
      <c r="D26" s="841"/>
      <c r="E26" s="665" t="str">
        <f>IF(AK18="","",IF(AK18=2,G18,E18))</f>
        <v>Güstrower SC 09</v>
      </c>
      <c r="F26" s="666"/>
      <c r="G26" s="831" t="str">
        <f>IF(AK20="","",IF(AK20=2,G20,E20))</f>
        <v>Großenasper SV</v>
      </c>
      <c r="H26" s="831"/>
      <c r="I26" s="832"/>
      <c r="J26" s="667">
        <v>15</v>
      </c>
      <c r="K26" s="668" t="s">
        <v>7</v>
      </c>
      <c r="L26" s="669">
        <v>13</v>
      </c>
      <c r="M26" s="670">
        <v>7</v>
      </c>
      <c r="N26" s="668" t="s">
        <v>7</v>
      </c>
      <c r="O26" s="669">
        <v>11</v>
      </c>
      <c r="P26" s="670">
        <v>11</v>
      </c>
      <c r="Q26" s="668" t="s">
        <v>7</v>
      </c>
      <c r="R26" s="671">
        <v>13</v>
      </c>
      <c r="S26" s="347" t="str">
        <f>IF(AK24="","",IF(AK24=0,E24,G24))</f>
        <v>SG Bademeusel</v>
      </c>
      <c r="T26" s="823" t="s">
        <v>668</v>
      </c>
      <c r="U26" s="824"/>
      <c r="V26" s="825"/>
      <c r="W26" s="459"/>
      <c r="X26" s="470"/>
      <c r="Y26" s="466">
        <f>IF(L26="","",IF(J26&gt;L26,1,0))</f>
        <v>1</v>
      </c>
      <c r="Z26" s="466">
        <f>IF(O26="","",IF(M26&gt;O26,1,0))</f>
        <v>0</v>
      </c>
      <c r="AA26" s="466">
        <f>IF(R26="","",IF(P26&gt;R26,1,0))</f>
        <v>0</v>
      </c>
      <c r="AB26" s="466">
        <f>IF(Y26="","",IF(Y26=0,1,0))</f>
        <v>0</v>
      </c>
      <c r="AC26" s="466">
        <f>IF(Z26="","",IF(Z26=0,1,0))</f>
        <v>1</v>
      </c>
      <c r="AD26" s="466">
        <f>IF(AA26="","",IF(AA26=0,1,0))</f>
        <v>1</v>
      </c>
      <c r="AE26" s="348">
        <f>IF(O26="","",IF(P26=0,J26+M26,J26+M26+P26))</f>
        <v>33</v>
      </c>
      <c r="AF26" s="349" t="s">
        <v>7</v>
      </c>
      <c r="AG26" s="350">
        <f>IF(O26="","",IF(R26="",L26+O26,L26+O26+R26))</f>
        <v>37</v>
      </c>
      <c r="AH26" s="348">
        <f>IF(Z26="","",IF(AA26="",Y26+Z26,Y26+Z26+AA26))</f>
        <v>1</v>
      </c>
      <c r="AI26" s="349" t="s">
        <v>7</v>
      </c>
      <c r="AJ26" s="350">
        <f>IF(Z26="","",IF(AD26="",AB26+AC26,AB26+AC26+AD26))</f>
        <v>2</v>
      </c>
      <c r="AK26" s="348">
        <f>IF(Z26="","",IF(AH26=2,2,IF(AJ26=2,0,"")))</f>
        <v>0</v>
      </c>
      <c r="AL26" s="349" t="s">
        <v>7</v>
      </c>
      <c r="AM26" s="350">
        <f>IF(AK26="","",IF(AJ26=2,2,0))</f>
        <v>2</v>
      </c>
    </row>
    <row r="27" spans="1:39" s="264" customFormat="1" ht="10.5" customHeight="1">
      <c r="A27" s="844">
        <v>14</v>
      </c>
      <c r="B27" s="846">
        <f>B25+'Spielplan-Sa'!AP$22</f>
        <v>0.5069444444444444</v>
      </c>
      <c r="C27" s="844">
        <v>14</v>
      </c>
      <c r="D27" s="840">
        <v>1</v>
      </c>
      <c r="E27" s="473" t="s">
        <v>59</v>
      </c>
      <c r="F27" s="469" t="s">
        <v>7</v>
      </c>
      <c r="G27" s="826" t="s">
        <v>411</v>
      </c>
      <c r="H27" s="826"/>
      <c r="I27" s="827"/>
      <c r="J27" s="828" t="s">
        <v>48</v>
      </c>
      <c r="K27" s="829"/>
      <c r="L27" s="829"/>
      <c r="M27" s="829"/>
      <c r="N27" s="829"/>
      <c r="O27" s="829"/>
      <c r="P27" s="829"/>
      <c r="Q27" s="829"/>
      <c r="R27" s="830"/>
      <c r="S27" s="351" t="s">
        <v>237</v>
      </c>
      <c r="T27" s="820"/>
      <c r="U27" s="821"/>
      <c r="V27" s="822"/>
      <c r="W27" s="459" t="s">
        <v>48</v>
      </c>
      <c r="X27" s="470">
        <f t="shared" si="0"/>
        <v>41693</v>
      </c>
      <c r="Y27" s="471"/>
      <c r="Z27" s="471"/>
      <c r="AA27" s="471"/>
      <c r="AB27" s="471"/>
      <c r="AC27" s="471"/>
      <c r="AD27" s="471"/>
      <c r="AE27" s="801"/>
      <c r="AF27" s="802"/>
      <c r="AG27" s="803"/>
      <c r="AH27" s="801"/>
      <c r="AI27" s="802"/>
      <c r="AJ27" s="803"/>
      <c r="AK27" s="801"/>
      <c r="AL27" s="802"/>
      <c r="AM27" s="803"/>
    </row>
    <row r="28" spans="1:39" s="264" customFormat="1" ht="15" customHeight="1" thickBot="1">
      <c r="A28" s="845"/>
      <c r="B28" s="847"/>
      <c r="C28" s="845"/>
      <c r="D28" s="841"/>
      <c r="E28" s="474" t="str">
        <f>S9</f>
        <v>TSV LoLa</v>
      </c>
      <c r="F28" s="155" t="s">
        <v>7</v>
      </c>
      <c r="G28" s="831" t="str">
        <f>IF(AK20="","",IF(AK20=2,E20,G20))</f>
        <v>Berliner Turnerschaft</v>
      </c>
      <c r="H28" s="831"/>
      <c r="I28" s="832"/>
      <c r="J28" s="509">
        <v>6</v>
      </c>
      <c r="K28" s="510" t="s">
        <v>7</v>
      </c>
      <c r="L28" s="511">
        <v>11</v>
      </c>
      <c r="M28" s="512">
        <v>5</v>
      </c>
      <c r="N28" s="510" t="s">
        <v>7</v>
      </c>
      <c r="O28" s="511">
        <v>11</v>
      </c>
      <c r="P28" s="512"/>
      <c r="Q28" s="510" t="s">
        <v>7</v>
      </c>
      <c r="R28" s="513"/>
      <c r="S28" s="347" t="str">
        <f>IF(AK26="","",IF(AK26=0,E26,G26))</f>
        <v>Güstrower SC 09</v>
      </c>
      <c r="T28" s="823" t="s">
        <v>327</v>
      </c>
      <c r="U28" s="824"/>
      <c r="V28" s="825"/>
      <c r="W28" s="459" t="s">
        <v>48</v>
      </c>
      <c r="X28" s="470">
        <f t="shared" si="0"/>
        <v>41693</v>
      </c>
      <c r="Y28" s="466">
        <f>IF(L28="","",IF(J28&gt;L28,1,0))</f>
        <v>0</v>
      </c>
      <c r="Z28" s="466">
        <f>IF(O28="","",IF(M28&gt;O28,1,0))</f>
        <v>0</v>
      </c>
      <c r="AA28" s="466">
        <f>IF(R28="","",IF(P28&gt;R28,1,0))</f>
      </c>
      <c r="AB28" s="466">
        <f>IF(Y28="","",IF(Y28=0,1,0))</f>
        <v>1</v>
      </c>
      <c r="AC28" s="466">
        <f>IF(Z28="","",IF(Z28=0,1,0))</f>
        <v>1</v>
      </c>
      <c r="AD28" s="466">
        <f>IF(AA28="","",IF(AA28=0,1,0))</f>
      </c>
      <c r="AE28" s="348">
        <f>IF(O28="","",IF(P28=0,J28+M28,J28+M28+P28))</f>
        <v>11</v>
      </c>
      <c r="AF28" s="349" t="s">
        <v>7</v>
      </c>
      <c r="AG28" s="350">
        <f>IF(O28="","",IF(R28="",L28+O28,L28+O28+R28))</f>
        <v>22</v>
      </c>
      <c r="AH28" s="348">
        <f>IF(Z28="","",IF(AA28="",Y28+Z28,Y28+Z28+AA28))</f>
        <v>0</v>
      </c>
      <c r="AI28" s="349" t="s">
        <v>7</v>
      </c>
      <c r="AJ28" s="350">
        <f>IF(Z28="","",IF(AD28="",AB28+AC28,AB28+AC28+AD28))</f>
        <v>2</v>
      </c>
      <c r="AK28" s="348">
        <f>IF(Z28="","",IF(AH28=2,2,IF(AJ28=2,0,"")))</f>
        <v>0</v>
      </c>
      <c r="AL28" s="349" t="s">
        <v>7</v>
      </c>
      <c r="AM28" s="350">
        <f>IF(AK28="","",IF(AJ28=2,2,0))</f>
        <v>2</v>
      </c>
    </row>
    <row r="29" spans="1:39" s="264" customFormat="1" ht="10.5" customHeight="1" hidden="1">
      <c r="A29" s="844">
        <v>16</v>
      </c>
      <c r="B29" s="846">
        <f>B27+'Spielplan-Sa'!AP$22</f>
        <v>0.5347222222222222</v>
      </c>
      <c r="C29" s="844">
        <v>16</v>
      </c>
      <c r="D29" s="840">
        <v>1</v>
      </c>
      <c r="E29" s="473" t="s">
        <v>408</v>
      </c>
      <c r="F29" s="469" t="s">
        <v>7</v>
      </c>
      <c r="G29" s="826" t="s">
        <v>410</v>
      </c>
      <c r="H29" s="826"/>
      <c r="I29" s="827"/>
      <c r="J29" s="828" t="s">
        <v>401</v>
      </c>
      <c r="K29" s="829"/>
      <c r="L29" s="829"/>
      <c r="M29" s="829"/>
      <c r="N29" s="829"/>
      <c r="O29" s="829"/>
      <c r="P29" s="829"/>
      <c r="Q29" s="829"/>
      <c r="R29" s="830"/>
      <c r="S29" s="351" t="s">
        <v>53</v>
      </c>
      <c r="T29" s="820"/>
      <c r="U29" s="821"/>
      <c r="V29" s="822"/>
      <c r="W29" s="459" t="s">
        <v>49</v>
      </c>
      <c r="X29" s="470">
        <f t="shared" si="0"/>
        <v>41693</v>
      </c>
      <c r="Y29" s="471"/>
      <c r="Z29" s="471"/>
      <c r="AA29" s="471"/>
      <c r="AB29" s="471"/>
      <c r="AC29" s="471"/>
      <c r="AD29" s="471"/>
      <c r="AE29" s="801"/>
      <c r="AF29" s="802"/>
      <c r="AG29" s="803"/>
      <c r="AH29" s="801"/>
      <c r="AI29" s="802"/>
      <c r="AJ29" s="803"/>
      <c r="AK29" s="801"/>
      <c r="AL29" s="802"/>
      <c r="AM29" s="803"/>
    </row>
    <row r="30" spans="1:39" s="264" customFormat="1" ht="15" customHeight="1" hidden="1" thickBot="1">
      <c r="A30" s="845"/>
      <c r="B30" s="847"/>
      <c r="C30" s="845"/>
      <c r="D30" s="841"/>
      <c r="E30" s="474" t="str">
        <f>IF(AK18="","",IF(AK18=2,G18,E18))</f>
        <v>Güstrower SC 09</v>
      </c>
      <c r="F30" s="155" t="s">
        <v>7</v>
      </c>
      <c r="G30" s="831" t="str">
        <f>IF(AK20="","",IF(AK20=2,G20,E20))</f>
        <v>Großenasper SV</v>
      </c>
      <c r="H30" s="831"/>
      <c r="I30" s="832"/>
      <c r="J30" s="509"/>
      <c r="K30" s="510" t="s">
        <v>7</v>
      </c>
      <c r="L30" s="511"/>
      <c r="M30" s="512"/>
      <c r="N30" s="510" t="s">
        <v>7</v>
      </c>
      <c r="O30" s="511"/>
      <c r="P30" s="512"/>
      <c r="Q30" s="510" t="s">
        <v>7</v>
      </c>
      <c r="R30" s="513"/>
      <c r="S30" s="347" t="str">
        <f>E12</f>
        <v>Großenasper SV</v>
      </c>
      <c r="T30" s="823"/>
      <c r="U30" s="824"/>
      <c r="V30" s="825"/>
      <c r="W30" s="459" t="s">
        <v>49</v>
      </c>
      <c r="X30" s="470">
        <f t="shared" si="0"/>
        <v>41693</v>
      </c>
      <c r="Y30" s="466">
        <f>IF(L30="","",IF(J30&gt;L30,1,0))</f>
      </c>
      <c r="Z30" s="466">
        <f>IF(O30="","",IF(M30&gt;O30,1,0))</f>
      </c>
      <c r="AA30" s="466">
        <f>IF(R30="","",IF(P30&gt;R30,1,0))</f>
      </c>
      <c r="AB30" s="466">
        <f>IF(Y30="","",IF(Y30=0,1,0))</f>
      </c>
      <c r="AC30" s="466">
        <f>IF(Z30="","",IF(Z30=0,1,0))</f>
      </c>
      <c r="AD30" s="466">
        <f>IF(AA30="","",IF(AA30=0,1,0))</f>
      </c>
      <c r="AE30" s="348">
        <f>IF(O30="","",IF(P30=0,J30+M30,J30+M30+P30))</f>
      </c>
      <c r="AF30" s="349" t="s">
        <v>7</v>
      </c>
      <c r="AG30" s="350">
        <f>IF(O30="","",IF(R30="",L30+O30,L30+O30+R30))</f>
      </c>
      <c r="AH30" s="348">
        <f>IF(Z30="","",IF(AA30="",Y30+Z30,Y30+Z30+AA30))</f>
      </c>
      <c r="AI30" s="349" t="s">
        <v>7</v>
      </c>
      <c r="AJ30" s="350">
        <f>IF(Z30="","",IF(AD30="",AB30+AC30,AB30+AC30+AD30))</f>
      </c>
      <c r="AK30" s="348">
        <f>IF(Z30="","",IF(AH30=2,2,IF(AJ30=2,0,"")))</f>
      </c>
      <c r="AL30" s="349" t="s">
        <v>7</v>
      </c>
      <c r="AM30" s="350">
        <f>IF(AK30="","",IF(AJ30=2,2,0))</f>
      </c>
    </row>
    <row r="31" spans="1:39" s="264" customFormat="1" ht="10.5" customHeight="1">
      <c r="A31" s="844">
        <v>15</v>
      </c>
      <c r="B31" s="846">
        <f>B27+'Spielplan-Sa'!AP$22</f>
        <v>0.5347222222222222</v>
      </c>
      <c r="C31" s="844">
        <v>15</v>
      </c>
      <c r="D31" s="840">
        <v>1</v>
      </c>
      <c r="E31" s="473" t="s">
        <v>664</v>
      </c>
      <c r="F31" s="469" t="s">
        <v>7</v>
      </c>
      <c r="G31" s="826" t="s">
        <v>665</v>
      </c>
      <c r="H31" s="826"/>
      <c r="I31" s="827"/>
      <c r="J31" s="828" t="s">
        <v>50</v>
      </c>
      <c r="K31" s="829"/>
      <c r="L31" s="829"/>
      <c r="M31" s="829"/>
      <c r="N31" s="829"/>
      <c r="O31" s="829"/>
      <c r="P31" s="829"/>
      <c r="Q31" s="829"/>
      <c r="R31" s="830"/>
      <c r="S31" s="351" t="s">
        <v>61</v>
      </c>
      <c r="T31" s="820"/>
      <c r="U31" s="821"/>
      <c r="V31" s="822"/>
      <c r="W31" s="459" t="s">
        <v>50</v>
      </c>
      <c r="X31" s="470">
        <f t="shared" si="0"/>
        <v>41693</v>
      </c>
      <c r="Y31" s="471"/>
      <c r="Z31" s="471"/>
      <c r="AA31" s="471"/>
      <c r="AB31" s="471"/>
      <c r="AC31" s="471"/>
      <c r="AD31" s="471"/>
      <c r="AE31" s="801"/>
      <c r="AF31" s="802"/>
      <c r="AG31" s="803"/>
      <c r="AH31" s="801"/>
      <c r="AI31" s="802"/>
      <c r="AJ31" s="803"/>
      <c r="AK31" s="801"/>
      <c r="AL31" s="802"/>
      <c r="AM31" s="803"/>
    </row>
    <row r="32" spans="1:39" s="264" customFormat="1" ht="15" customHeight="1" thickBot="1">
      <c r="A32" s="845"/>
      <c r="B32" s="847"/>
      <c r="C32" s="845"/>
      <c r="D32" s="841"/>
      <c r="E32" s="474" t="str">
        <f>IF(AK24="","",IF(AK24=2,G24,E24))</f>
        <v>SG Bademeusel</v>
      </c>
      <c r="F32" s="155" t="s">
        <v>7</v>
      </c>
      <c r="G32" s="831" t="str">
        <f>IF(AK28="","",IF(AK28=2,G28,E28))</f>
        <v>TSV LoLa</v>
      </c>
      <c r="H32" s="831"/>
      <c r="I32" s="832"/>
      <c r="J32" s="509">
        <v>12</v>
      </c>
      <c r="K32" s="510" t="s">
        <v>7</v>
      </c>
      <c r="L32" s="511">
        <v>10</v>
      </c>
      <c r="M32" s="512">
        <v>11</v>
      </c>
      <c r="N32" s="510" t="s">
        <v>7</v>
      </c>
      <c r="O32" s="511">
        <v>4</v>
      </c>
      <c r="P32" s="512"/>
      <c r="Q32" s="510" t="s">
        <v>7</v>
      </c>
      <c r="R32" s="513"/>
      <c r="S32" s="347" t="s">
        <v>61</v>
      </c>
      <c r="T32" s="823" t="s">
        <v>668</v>
      </c>
      <c r="U32" s="824"/>
      <c r="V32" s="825"/>
      <c r="W32" s="459" t="s">
        <v>50</v>
      </c>
      <c r="X32" s="470">
        <f t="shared" si="0"/>
        <v>41693</v>
      </c>
      <c r="Y32" s="466">
        <f>IF(L32="","",IF(J32&gt;L32,1,0))</f>
        <v>1</v>
      </c>
      <c r="Z32" s="466">
        <f>IF(O32="","",IF(M32&gt;O32,1,0))</f>
        <v>1</v>
      </c>
      <c r="AA32" s="466">
        <f>IF(R32="","",IF(P32&gt;R32,1,0))</f>
      </c>
      <c r="AB32" s="466">
        <f>IF(Y32="","",IF(Y32=0,1,0))</f>
        <v>0</v>
      </c>
      <c r="AC32" s="466">
        <f>IF(Z32="","",IF(Z32=0,1,0))</f>
        <v>0</v>
      </c>
      <c r="AD32" s="466">
        <f>IF(AA32="","",IF(AA32=0,1,0))</f>
      </c>
      <c r="AE32" s="348">
        <f>IF(O32="","",IF(P32=0,J32+M32,J32+M32+P32))</f>
        <v>23</v>
      </c>
      <c r="AF32" s="349" t="s">
        <v>7</v>
      </c>
      <c r="AG32" s="350">
        <f>IF(O32="","",IF(R32="",L32+O32,L32+O32+R32))</f>
        <v>14</v>
      </c>
      <c r="AH32" s="348">
        <f>IF(Z32="","",IF(AA32="",Y32+Z32,Y32+Z32+AA32))</f>
        <v>2</v>
      </c>
      <c r="AI32" s="349" t="s">
        <v>7</v>
      </c>
      <c r="AJ32" s="350">
        <f>IF(Z32="","",IF(AD32="",AB32+AC32,AB32+AC32+AD32))</f>
        <v>0</v>
      </c>
      <c r="AK32" s="348">
        <f>IF(Z32="","",IF(AH32=2,2,IF(AJ32=2,0,"")))</f>
        <v>2</v>
      </c>
      <c r="AL32" s="349" t="s">
        <v>7</v>
      </c>
      <c r="AM32" s="350">
        <f>IF(AK32="","",IF(AJ32=2,2,0))</f>
        <v>0</v>
      </c>
    </row>
    <row r="33" spans="1:39" s="264" customFormat="1" ht="10.5" customHeight="1">
      <c r="A33" s="844">
        <v>16</v>
      </c>
      <c r="B33" s="846">
        <f>B31+'Spielplan-Sa'!AP$22</f>
        <v>0.5625</v>
      </c>
      <c r="C33" s="844">
        <v>16</v>
      </c>
      <c r="D33" s="840">
        <v>1</v>
      </c>
      <c r="E33" s="473" t="s">
        <v>666</v>
      </c>
      <c r="F33" s="469" t="s">
        <v>7</v>
      </c>
      <c r="G33" s="826" t="s">
        <v>667</v>
      </c>
      <c r="H33" s="826"/>
      <c r="I33" s="827"/>
      <c r="J33" s="828" t="s">
        <v>51</v>
      </c>
      <c r="K33" s="829"/>
      <c r="L33" s="829"/>
      <c r="M33" s="829"/>
      <c r="N33" s="829"/>
      <c r="O33" s="829"/>
      <c r="P33" s="829"/>
      <c r="Q33" s="829"/>
      <c r="R33" s="830"/>
      <c r="S33" s="351" t="s">
        <v>61</v>
      </c>
      <c r="T33" s="820"/>
      <c r="U33" s="821"/>
      <c r="V33" s="822"/>
      <c r="W33" s="459" t="s">
        <v>101</v>
      </c>
      <c r="X33" s="470">
        <f t="shared" si="0"/>
        <v>41693</v>
      </c>
      <c r="Y33" s="471"/>
      <c r="Z33" s="471"/>
      <c r="AA33" s="471"/>
      <c r="AB33" s="471"/>
      <c r="AC33" s="471"/>
      <c r="AD33" s="471"/>
      <c r="AE33" s="801"/>
      <c r="AF33" s="802"/>
      <c r="AG33" s="803"/>
      <c r="AH33" s="801"/>
      <c r="AI33" s="802"/>
      <c r="AJ33" s="803"/>
      <c r="AK33" s="801"/>
      <c r="AL33" s="802"/>
      <c r="AM33" s="803"/>
    </row>
    <row r="34" spans="1:39" s="264" customFormat="1" ht="15" customHeight="1" thickBot="1">
      <c r="A34" s="845"/>
      <c r="B34" s="847"/>
      <c r="C34" s="845"/>
      <c r="D34" s="841"/>
      <c r="E34" s="474" t="str">
        <f>IF(AK24="","",IF(AK24=2,E24,G24))</f>
        <v>VfL Kellinghusen</v>
      </c>
      <c r="F34" s="155" t="s">
        <v>7</v>
      </c>
      <c r="G34" s="831" t="str">
        <f>IF(AK28="","",IF(AK28=2,E28,G28))</f>
        <v>Berliner Turnerschaft</v>
      </c>
      <c r="H34" s="831"/>
      <c r="I34" s="832"/>
      <c r="J34" s="509">
        <v>11</v>
      </c>
      <c r="K34" s="510" t="s">
        <v>7</v>
      </c>
      <c r="L34" s="511">
        <v>5</v>
      </c>
      <c r="M34" s="512">
        <v>8</v>
      </c>
      <c r="N34" s="510" t="s">
        <v>7</v>
      </c>
      <c r="O34" s="511">
        <v>11</v>
      </c>
      <c r="P34" s="512">
        <v>5</v>
      </c>
      <c r="Q34" s="510" t="s">
        <v>7</v>
      </c>
      <c r="R34" s="513">
        <v>11</v>
      </c>
      <c r="S34" s="472" t="s">
        <v>61</v>
      </c>
      <c r="T34" s="823" t="s">
        <v>327</v>
      </c>
      <c r="U34" s="824"/>
      <c r="V34" s="825"/>
      <c r="W34" s="459" t="s">
        <v>101</v>
      </c>
      <c r="X34" s="470">
        <f t="shared" si="0"/>
        <v>41693</v>
      </c>
      <c r="Y34" s="466">
        <f>IF(L34="","",IF(J34&gt;L34,1,0))</f>
        <v>1</v>
      </c>
      <c r="Z34" s="466">
        <f>IF(O34="","",IF(M34&gt;O34,1,0))</f>
        <v>0</v>
      </c>
      <c r="AA34" s="466">
        <f>IF(R34="","",IF(P34&gt;R34,1,0))</f>
        <v>0</v>
      </c>
      <c r="AB34" s="466">
        <f>IF(Y34="","",IF(Y34=0,1,0))</f>
        <v>0</v>
      </c>
      <c r="AC34" s="466">
        <f>IF(Z34="","",IF(Z34=0,1,0))</f>
        <v>1</v>
      </c>
      <c r="AD34" s="466">
        <f>IF(AA34="","",IF(AA34=0,1,0))</f>
        <v>1</v>
      </c>
      <c r="AE34" s="348">
        <f>IF(O34="","",IF(P34=0,J34+M34,J34+M34+P34))</f>
        <v>24</v>
      </c>
      <c r="AF34" s="349" t="s">
        <v>7</v>
      </c>
      <c r="AG34" s="350">
        <f>IF(O34="","",IF(R34="",L34+O34,L34+O34+R34))</f>
        <v>27</v>
      </c>
      <c r="AH34" s="348">
        <f>IF(Z34="","",IF(AA34="",Y34+Z34,Y34+Z34+AA34))</f>
        <v>1</v>
      </c>
      <c r="AI34" s="349" t="s">
        <v>7</v>
      </c>
      <c r="AJ34" s="350">
        <f>IF(Z34="","",IF(AD34="",AB34+AC34,AB34+AC34+AD34))</f>
        <v>2</v>
      </c>
      <c r="AK34" s="348">
        <f>IF(Z34="","",IF(AH34=2,2,IF(AJ34=2,0,"")))</f>
        <v>0</v>
      </c>
      <c r="AL34" s="349" t="s">
        <v>7</v>
      </c>
      <c r="AM34" s="350">
        <f>IF(AK34="","",IF(AJ34=2,2,0))</f>
        <v>2</v>
      </c>
    </row>
    <row r="35" spans="3:39" s="14" customFormat="1" ht="12.75">
      <c r="C35" s="475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25:39" ht="12.75">
      <c r="Y36" s="39"/>
      <c r="Z36" s="39"/>
      <c r="AA36" s="39"/>
      <c r="AB36" s="39"/>
      <c r="AC36" s="39"/>
      <c r="AD36" s="39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25:39" ht="12.75">
      <c r="Y37" s="39"/>
      <c r="Z37" s="39"/>
      <c r="AA37" s="39"/>
      <c r="AB37" s="39"/>
      <c r="AC37" s="39"/>
      <c r="AD37" s="39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25:39" ht="12.75">
      <c r="Y38" s="39"/>
      <c r="Z38" s="39"/>
      <c r="AA38" s="39"/>
      <c r="AB38" s="39"/>
      <c r="AC38" s="39"/>
      <c r="AD38" s="39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25:39" ht="12.75">
      <c r="Y39" s="39"/>
      <c r="Z39" s="39"/>
      <c r="AA39" s="39"/>
      <c r="AB39" s="39"/>
      <c r="AC39" s="39"/>
      <c r="AD39" s="39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25:39" ht="12.75">
      <c r="Y40" s="39"/>
      <c r="Z40" s="39"/>
      <c r="AA40" s="39"/>
      <c r="AB40" s="39"/>
      <c r="AC40" s="39"/>
      <c r="AD40" s="39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25:39" ht="12.75">
      <c r="Y41" s="39"/>
      <c r="Z41" s="39"/>
      <c r="AA41" s="39"/>
      <c r="AB41" s="39"/>
      <c r="AC41" s="39"/>
      <c r="AD41" s="39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25:39" ht="12.75">
      <c r="Y42" s="39"/>
      <c r="Z42" s="39"/>
      <c r="AA42" s="39"/>
      <c r="AB42" s="39"/>
      <c r="AC42" s="39"/>
      <c r="AD42" s="39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25:39" ht="12.75">
      <c r="Y43" s="39"/>
      <c r="Z43" s="39"/>
      <c r="AA43" s="39"/>
      <c r="AB43" s="39"/>
      <c r="AC43" s="39"/>
      <c r="AD43" s="39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25:39" ht="12.75">
      <c r="Y44" s="39"/>
      <c r="Z44" s="39"/>
      <c r="AA44" s="39"/>
      <c r="AB44" s="39"/>
      <c r="AC44" s="39"/>
      <c r="AD44" s="39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25:39" ht="12.75">
      <c r="Y45" s="39"/>
      <c r="Z45" s="39"/>
      <c r="AA45" s="39"/>
      <c r="AB45" s="39"/>
      <c r="AC45" s="39"/>
      <c r="AD45" s="39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25:39" ht="12.75">
      <c r="Y46" s="38"/>
      <c r="Z46" s="38"/>
      <c r="AA46" s="38"/>
      <c r="AB46" s="38"/>
      <c r="AC46" s="38"/>
      <c r="AD46" s="38"/>
      <c r="AE46" s="57"/>
      <c r="AF46" s="57"/>
      <c r="AG46" s="57"/>
      <c r="AH46" s="57"/>
      <c r="AI46" s="57"/>
      <c r="AJ46" s="57"/>
      <c r="AK46" s="57"/>
      <c r="AL46" s="57"/>
      <c r="AM46" s="57"/>
    </row>
    <row r="47" spans="25:39" ht="12.75">
      <c r="Y47" s="38"/>
      <c r="Z47" s="38"/>
      <c r="AA47" s="38"/>
      <c r="AB47" s="38"/>
      <c r="AC47" s="38"/>
      <c r="AD47" s="38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25:39" ht="12.75">
      <c r="Y48" s="38"/>
      <c r="Z48" s="38"/>
      <c r="AA48" s="38"/>
      <c r="AB48" s="38"/>
      <c r="AC48" s="38"/>
      <c r="AD48" s="38"/>
      <c r="AE48" s="57"/>
      <c r="AF48" s="57"/>
      <c r="AG48" s="57"/>
      <c r="AH48" s="57"/>
      <c r="AI48" s="57"/>
      <c r="AJ48" s="57"/>
      <c r="AK48" s="57"/>
      <c r="AL48" s="57"/>
      <c r="AM48" s="57"/>
    </row>
    <row r="49" spans="25:39" ht="12.75">
      <c r="Y49" s="38"/>
      <c r="Z49" s="38"/>
      <c r="AA49" s="38"/>
      <c r="AB49" s="38"/>
      <c r="AC49" s="38"/>
      <c r="AD49" s="38"/>
      <c r="AE49" s="57"/>
      <c r="AF49" s="57"/>
      <c r="AG49" s="57"/>
      <c r="AH49" s="57"/>
      <c r="AI49" s="57"/>
      <c r="AJ49" s="57"/>
      <c r="AK49" s="57"/>
      <c r="AL49" s="57"/>
      <c r="AM49" s="57"/>
    </row>
    <row r="50" spans="25:39" ht="12.75">
      <c r="Y50" s="38"/>
      <c r="Z50" s="38"/>
      <c r="AA50" s="38"/>
      <c r="AB50" s="38"/>
      <c r="AC50" s="38"/>
      <c r="AD50" s="38"/>
      <c r="AE50" s="57"/>
      <c r="AF50" s="57"/>
      <c r="AG50" s="57"/>
      <c r="AH50" s="57"/>
      <c r="AI50" s="57"/>
      <c r="AJ50" s="57"/>
      <c r="AK50" s="57"/>
      <c r="AL50" s="57"/>
      <c r="AM50" s="57"/>
    </row>
    <row r="51" spans="25:39" ht="12.75">
      <c r="Y51" s="38"/>
      <c r="Z51" s="38"/>
      <c r="AA51" s="38"/>
      <c r="AB51" s="38"/>
      <c r="AC51" s="38"/>
      <c r="AD51" s="38"/>
      <c r="AE51" s="57"/>
      <c r="AF51" s="57"/>
      <c r="AG51" s="57"/>
      <c r="AH51" s="57"/>
      <c r="AI51" s="57"/>
      <c r="AJ51" s="57"/>
      <c r="AK51" s="57"/>
      <c r="AL51" s="57"/>
      <c r="AM51" s="57"/>
    </row>
  </sheetData>
  <sheetProtection sheet="1" objects="1" scenarios="1" selectLockedCells="1"/>
  <mergeCells count="141">
    <mergeCell ref="AH25:AJ25"/>
    <mergeCell ref="AK25:AM25"/>
    <mergeCell ref="G26:I26"/>
    <mergeCell ref="B27:B28"/>
    <mergeCell ref="B25:B26"/>
    <mergeCell ref="D25:D26"/>
    <mergeCell ref="AE25:AG25"/>
    <mergeCell ref="D2:T2"/>
    <mergeCell ref="H8:N8"/>
    <mergeCell ref="J6:R6"/>
    <mergeCell ref="A4:I4"/>
    <mergeCell ref="J4:V4"/>
    <mergeCell ref="R8:S8"/>
    <mergeCell ref="A27:A28"/>
    <mergeCell ref="A15:A16"/>
    <mergeCell ref="A17:A18"/>
    <mergeCell ref="B17:B18"/>
    <mergeCell ref="B15:B16"/>
    <mergeCell ref="A25:A26"/>
    <mergeCell ref="C33:C34"/>
    <mergeCell ref="D33:D34"/>
    <mergeCell ref="C31:C32"/>
    <mergeCell ref="D29:D30"/>
    <mergeCell ref="D21:D22"/>
    <mergeCell ref="D23:D24"/>
    <mergeCell ref="D27:D28"/>
    <mergeCell ref="C17:C18"/>
    <mergeCell ref="C19:C20"/>
    <mergeCell ref="C27:C28"/>
    <mergeCell ref="C23:C24"/>
    <mergeCell ref="C25:C26"/>
    <mergeCell ref="D31:D32"/>
    <mergeCell ref="B33:B34"/>
    <mergeCell ref="A19:A20"/>
    <mergeCell ref="B19:B20"/>
    <mergeCell ref="A23:A24"/>
    <mergeCell ref="B23:B24"/>
    <mergeCell ref="A21:A22"/>
    <mergeCell ref="B21:B22"/>
    <mergeCell ref="A33:A34"/>
    <mergeCell ref="A31:A32"/>
    <mergeCell ref="B31:B32"/>
    <mergeCell ref="T30:V30"/>
    <mergeCell ref="T20:V20"/>
    <mergeCell ref="T21:V21"/>
    <mergeCell ref="T27:V27"/>
    <mergeCell ref="T24:V24"/>
    <mergeCell ref="T23:V23"/>
    <mergeCell ref="T29:V29"/>
    <mergeCell ref="J16:L16"/>
    <mergeCell ref="F15:F16"/>
    <mergeCell ref="D17:D18"/>
    <mergeCell ref="D15:D16"/>
    <mergeCell ref="E15:E16"/>
    <mergeCell ref="A29:A30"/>
    <mergeCell ref="B29:B30"/>
    <mergeCell ref="D19:D20"/>
    <mergeCell ref="C29:C30"/>
    <mergeCell ref="C21:C22"/>
    <mergeCell ref="J33:R33"/>
    <mergeCell ref="G24:I24"/>
    <mergeCell ref="J19:R19"/>
    <mergeCell ref="J21:R21"/>
    <mergeCell ref="J29:R29"/>
    <mergeCell ref="C15:C16"/>
    <mergeCell ref="G17:I17"/>
    <mergeCell ref="J15:R15"/>
    <mergeCell ref="P16:R16"/>
    <mergeCell ref="M16:O16"/>
    <mergeCell ref="G23:I23"/>
    <mergeCell ref="G29:I29"/>
    <mergeCell ref="G30:I30"/>
    <mergeCell ref="G18:I18"/>
    <mergeCell ref="J17:R17"/>
    <mergeCell ref="G25:I25"/>
    <mergeCell ref="J25:R25"/>
    <mergeCell ref="G32:I32"/>
    <mergeCell ref="G34:I34"/>
    <mergeCell ref="G33:I33"/>
    <mergeCell ref="T33:V33"/>
    <mergeCell ref="G19:I19"/>
    <mergeCell ref="G20:I20"/>
    <mergeCell ref="G27:I27"/>
    <mergeCell ref="G28:I28"/>
    <mergeCell ref="G21:I21"/>
    <mergeCell ref="G22:I22"/>
    <mergeCell ref="Z15:Z16"/>
    <mergeCell ref="AA15:AA16"/>
    <mergeCell ref="T18:V18"/>
    <mergeCell ref="T34:V34"/>
    <mergeCell ref="G31:I31"/>
    <mergeCell ref="J31:R31"/>
    <mergeCell ref="J23:R23"/>
    <mergeCell ref="J27:R27"/>
    <mergeCell ref="T31:V31"/>
    <mergeCell ref="T32:V32"/>
    <mergeCell ref="T19:V19"/>
    <mergeCell ref="T28:V28"/>
    <mergeCell ref="T22:V22"/>
    <mergeCell ref="T17:V17"/>
    <mergeCell ref="T25:V25"/>
    <mergeCell ref="T26:V26"/>
    <mergeCell ref="AB15:AB16"/>
    <mergeCell ref="D1:S1"/>
    <mergeCell ref="A3:V3"/>
    <mergeCell ref="A14:S14"/>
    <mergeCell ref="T15:V16"/>
    <mergeCell ref="G10:Q10"/>
    <mergeCell ref="G6:I6"/>
    <mergeCell ref="G15:I16"/>
    <mergeCell ref="D8:E8"/>
    <mergeCell ref="Y15:Y16"/>
    <mergeCell ref="AH23:AJ23"/>
    <mergeCell ref="AE17:AG17"/>
    <mergeCell ref="AH17:AJ17"/>
    <mergeCell ref="AK17:AM17"/>
    <mergeCell ref="AC15:AC16"/>
    <mergeCell ref="AD15:AD16"/>
    <mergeCell ref="AE15:AG16"/>
    <mergeCell ref="AH15:AJ16"/>
    <mergeCell ref="AK15:AM16"/>
    <mergeCell ref="AH31:AJ31"/>
    <mergeCell ref="AK19:AM19"/>
    <mergeCell ref="AE27:AG27"/>
    <mergeCell ref="AH27:AJ27"/>
    <mergeCell ref="AE19:AG19"/>
    <mergeCell ref="AH19:AJ19"/>
    <mergeCell ref="AE21:AG21"/>
    <mergeCell ref="AH21:AJ21"/>
    <mergeCell ref="AK21:AM21"/>
    <mergeCell ref="AE23:AG23"/>
    <mergeCell ref="AK31:AM31"/>
    <mergeCell ref="AK23:AM23"/>
    <mergeCell ref="AK27:AM27"/>
    <mergeCell ref="AE33:AG33"/>
    <mergeCell ref="AH33:AJ33"/>
    <mergeCell ref="AK33:AM33"/>
    <mergeCell ref="AE29:AG29"/>
    <mergeCell ref="AH29:AJ29"/>
    <mergeCell ref="AK29:AM29"/>
    <mergeCell ref="AE31:AG31"/>
  </mergeCells>
  <conditionalFormatting sqref="A14:S14">
    <cfRule type="cellIs" priority="1" dxfId="21" operator="notEqual" stopIfTrue="1">
      <formula>""</formula>
    </cfRule>
  </conditionalFormatting>
  <printOptions horizont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P180"/>
  <sheetViews>
    <sheetView zoomScalePageLayoutView="0" workbookViewId="0" topLeftCell="A1">
      <selection activeCell="A6" sqref="A6"/>
    </sheetView>
  </sheetViews>
  <sheetFormatPr defaultColWidth="3.421875" defaultRowHeight="12.75"/>
  <cols>
    <col min="1" max="3" width="3.140625" style="5" customWidth="1"/>
    <col min="4" max="4" width="4.00390625" style="16" hidden="1" customWidth="1"/>
    <col min="5" max="20" width="3.00390625" style="5" customWidth="1"/>
    <col min="21" max="21" width="3.28125" style="16" hidden="1" customWidth="1"/>
    <col min="22" max="34" width="3.00390625" style="5" customWidth="1"/>
  </cols>
  <sheetData>
    <row r="1" spans="1:34" s="203" customFormat="1" ht="33.75" customHeight="1" thickTop="1">
      <c r="A1" s="866" t="s">
        <v>153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8"/>
      <c r="AD1" s="352"/>
      <c r="AE1" s="352"/>
      <c r="AF1" s="352"/>
      <c r="AG1" s="352"/>
      <c r="AH1" s="353"/>
    </row>
    <row r="2" spans="1:34" s="203" customFormat="1" ht="17.25" customHeight="1" thickBot="1">
      <c r="A2" s="869" t="s">
        <v>399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1"/>
      <c r="AD2" s="354"/>
      <c r="AE2" s="354"/>
      <c r="AF2" s="354"/>
      <c r="AG2" s="354"/>
      <c r="AH2" s="355"/>
    </row>
    <row r="3" spans="1:42" s="310" customFormat="1" ht="29.25" customHeight="1" thickBot="1" thickTop="1">
      <c r="A3" s="356" t="s">
        <v>154</v>
      </c>
      <c r="B3" s="357"/>
      <c r="C3" s="357"/>
      <c r="D3" s="357"/>
      <c r="E3" s="357"/>
      <c r="F3" s="358"/>
      <c r="G3" s="872" t="str">
        <f>Mannschaften!D2</f>
        <v>Ostdeutsche Meisterschaft der männl. Jugend 14 Halle 13/14</v>
      </c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4"/>
      <c r="AD3" s="359"/>
      <c r="AE3" s="359"/>
      <c r="AF3" s="359"/>
      <c r="AG3" s="359"/>
      <c r="AH3" s="360"/>
      <c r="AL3" s="883" t="s">
        <v>9</v>
      </c>
      <c r="AM3" s="883" t="s">
        <v>10</v>
      </c>
      <c r="AN3" s="883" t="s">
        <v>10</v>
      </c>
      <c r="AO3" s="883" t="s">
        <v>10</v>
      </c>
      <c r="AP3" s="883" t="s">
        <v>10</v>
      </c>
    </row>
    <row r="4" spans="1:42" s="310" customFormat="1" ht="22.5" customHeight="1" thickBot="1" thickTop="1">
      <c r="A4" s="361" t="s">
        <v>152</v>
      </c>
      <c r="B4" s="362"/>
      <c r="C4" s="362"/>
      <c r="D4" s="362"/>
      <c r="E4" s="362"/>
      <c r="F4" s="363"/>
      <c r="G4" s="872" t="str">
        <f>Mannschaften!H3</f>
        <v>M U14</v>
      </c>
      <c r="H4" s="873"/>
      <c r="I4" s="873"/>
      <c r="J4" s="873"/>
      <c r="K4" s="873"/>
      <c r="L4" s="873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5"/>
      <c r="AD4" s="359"/>
      <c r="AE4" s="359"/>
      <c r="AF4" s="359"/>
      <c r="AG4" s="359"/>
      <c r="AH4" s="360"/>
      <c r="AL4" s="884"/>
      <c r="AM4" s="884"/>
      <c r="AN4" s="884"/>
      <c r="AO4" s="884"/>
      <c r="AP4" s="884"/>
    </row>
    <row r="5" spans="1:42" s="203" customFormat="1" ht="18" customHeight="1" thickBot="1" thickTop="1">
      <c r="A5" s="366" t="s">
        <v>158</v>
      </c>
      <c r="B5" s="367"/>
      <c r="C5" s="367"/>
      <c r="D5" s="368"/>
      <c r="E5" s="369"/>
      <c r="F5" s="885" t="str">
        <f>IF(VLOOKUP(AL5,PlanS,AM5,FALSE)="","",(VLOOKUP(AL5,PlanS,AM5,FALSE)))</f>
        <v>Qualifikation</v>
      </c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370" t="s">
        <v>155</v>
      </c>
      <c r="S5" s="370"/>
      <c r="T5" s="370"/>
      <c r="U5" s="371"/>
      <c r="V5" s="370"/>
      <c r="W5" s="886" t="str">
        <f>Mannschaften!F4</f>
        <v>Berlin</v>
      </c>
      <c r="X5" s="887"/>
      <c r="Y5" s="887"/>
      <c r="Z5" s="887"/>
      <c r="AA5" s="887"/>
      <c r="AB5" s="887"/>
      <c r="AC5" s="888"/>
      <c r="AD5" s="372"/>
      <c r="AE5" s="372"/>
      <c r="AF5" s="372"/>
      <c r="AG5" s="372"/>
      <c r="AH5" s="373"/>
      <c r="AL5" s="3">
        <v>8</v>
      </c>
      <c r="AM5" s="374">
        <v>24</v>
      </c>
      <c r="AN5" s="374">
        <v>25</v>
      </c>
      <c r="AO5" s="374"/>
      <c r="AP5" s="374"/>
    </row>
    <row r="6" spans="1:42" s="203" customFormat="1" ht="18" customHeight="1" thickTop="1">
      <c r="A6" s="477" t="s">
        <v>11</v>
      </c>
      <c r="B6" s="478"/>
      <c r="C6" s="478"/>
      <c r="D6" s="479"/>
      <c r="E6" s="480"/>
      <c r="F6" s="881" t="str">
        <f>IF(VLOOKUP(AL6,PlanS,AM6,FALSE)="","",(VLOOKUP(AL6,PlanS,AM6,FALSE)))</f>
        <v>Sven Dreeke</v>
      </c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98" t="s">
        <v>156</v>
      </c>
      <c r="S6" s="98"/>
      <c r="T6" s="98"/>
      <c r="U6" s="481"/>
      <c r="V6" s="98"/>
      <c r="W6" s="879">
        <f>IF(VLOOKUP(AL6,PlanS,AN6,FALSE)="","",(VLOOKUP(AL6,PlanS,AN6,FALSE)))</f>
        <v>41693</v>
      </c>
      <c r="X6" s="880"/>
      <c r="Y6" s="880"/>
      <c r="Z6" s="880"/>
      <c r="AA6" s="880"/>
      <c r="AB6" s="482"/>
      <c r="AC6" s="482"/>
      <c r="AD6" s="483"/>
      <c r="AE6" s="483"/>
      <c r="AF6" s="97"/>
      <c r="AG6" s="97"/>
      <c r="AH6" s="484"/>
      <c r="AL6" s="376">
        <f aca="true" t="shared" si="0" ref="AL6:AL11">AL5</f>
        <v>8</v>
      </c>
      <c r="AM6" s="377">
        <v>21</v>
      </c>
      <c r="AN6" s="377">
        <v>25</v>
      </c>
      <c r="AO6" s="374"/>
      <c r="AP6" s="374"/>
    </row>
    <row r="7" spans="1:42" s="203" customFormat="1" ht="18" customHeight="1">
      <c r="A7" s="477" t="s">
        <v>13</v>
      </c>
      <c r="B7" s="478"/>
      <c r="C7" s="478"/>
      <c r="D7" s="479"/>
      <c r="E7" s="480"/>
      <c r="F7" s="892"/>
      <c r="G7" s="893"/>
      <c r="H7" s="893"/>
      <c r="I7" s="893"/>
      <c r="J7" s="893"/>
      <c r="K7" s="893"/>
      <c r="L7" s="893"/>
      <c r="M7" s="893"/>
      <c r="N7" s="893"/>
      <c r="O7" s="893"/>
      <c r="P7" s="893"/>
      <c r="Q7" s="894"/>
      <c r="R7" s="478" t="s">
        <v>160</v>
      </c>
      <c r="S7" s="478"/>
      <c r="T7" s="478"/>
      <c r="U7" s="479"/>
      <c r="V7" s="480"/>
      <c r="W7" s="890">
        <f>IF(VLOOKUP(AL7,PlanS,AN7,FALSE)="","",(VLOOKUP(AL7,PlanS,AN7,FALSE)))</f>
        <v>0.4236111111111111</v>
      </c>
      <c r="X7" s="891"/>
      <c r="Y7" s="891"/>
      <c r="Z7" s="891"/>
      <c r="AA7" s="485" t="s">
        <v>12</v>
      </c>
      <c r="AB7" s="486"/>
      <c r="AC7" s="487"/>
      <c r="AD7" s="487"/>
      <c r="AE7" s="488"/>
      <c r="AF7" s="488"/>
      <c r="AG7" s="488"/>
      <c r="AH7" s="489"/>
      <c r="AL7" s="376">
        <f t="shared" si="0"/>
        <v>8</v>
      </c>
      <c r="AM7" s="377"/>
      <c r="AN7" s="377">
        <v>3</v>
      </c>
      <c r="AO7" s="374"/>
      <c r="AP7" s="374"/>
    </row>
    <row r="8" spans="1:42" s="203" customFormat="1" ht="18" customHeight="1">
      <c r="A8" s="477" t="s">
        <v>14</v>
      </c>
      <c r="B8" s="478"/>
      <c r="C8" s="478"/>
      <c r="D8" s="479"/>
      <c r="E8" s="480"/>
      <c r="F8" s="881" t="str">
        <f>IF(VLOOKUP(AL8,PlanS,AM8,FALSE)="","",(VLOOKUP(AL8,PlanS,AM8,FALSE)))</f>
        <v>TSV LoLa</v>
      </c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478" t="s">
        <v>161</v>
      </c>
      <c r="S8" s="478"/>
      <c r="T8" s="478"/>
      <c r="U8" s="479"/>
      <c r="V8" s="480"/>
      <c r="W8" s="899">
        <f>IF(VLOOKUP(AL8,PlanS,AN8,FALSE)="","",(VLOOKUP(AL8,PlanS,AN8,FALSE)))</f>
        <v>11</v>
      </c>
      <c r="X8" s="889"/>
      <c r="Y8" s="488"/>
      <c r="Z8" s="488"/>
      <c r="AA8" s="488"/>
      <c r="AB8" s="490" t="s">
        <v>157</v>
      </c>
      <c r="AC8" s="486"/>
      <c r="AD8" s="889">
        <f>IF(VLOOKUP(AL8,PlanS,AO8,FALSE)="","",(VLOOKUP(AL8,PlanS,AO8,FALSE)))</f>
        <v>1</v>
      </c>
      <c r="AE8" s="889"/>
      <c r="AF8" s="488"/>
      <c r="AG8" s="488"/>
      <c r="AH8" s="489"/>
      <c r="AL8" s="376">
        <f t="shared" si="0"/>
        <v>8</v>
      </c>
      <c r="AM8" s="377">
        <v>20</v>
      </c>
      <c r="AN8" s="377">
        <v>2</v>
      </c>
      <c r="AO8" s="374">
        <v>5</v>
      </c>
      <c r="AP8" s="374"/>
    </row>
    <row r="9" spans="1:42" s="203" customFormat="1" ht="18" customHeight="1" thickBot="1">
      <c r="A9" s="491" t="s">
        <v>159</v>
      </c>
      <c r="B9" s="492"/>
      <c r="C9" s="492"/>
      <c r="D9" s="493"/>
      <c r="E9" s="494"/>
      <c r="F9" s="895" t="str">
        <f>IF(VLOOKUP(AL9,PlanS,AM9,FALSE)="","",(VLOOKUP(AL9,PlanS,AM9,FALSE)))</f>
        <v>TSV LoLa</v>
      </c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98" t="s">
        <v>162</v>
      </c>
      <c r="S9" s="99"/>
      <c r="T9" s="99"/>
      <c r="U9" s="495"/>
      <c r="V9" s="496"/>
      <c r="W9" s="897">
        <f>IF(VLOOKUP(AL9,PlanS,AN9,FALSE)="","",(VLOOKUP(AL9,PlanS,AN9,FALSE)))</f>
        <v>11</v>
      </c>
      <c r="X9" s="898"/>
      <c r="Y9" s="497"/>
      <c r="Z9" s="497"/>
      <c r="AA9" s="497"/>
      <c r="AB9" s="497"/>
      <c r="AC9" s="497"/>
      <c r="AD9" s="497"/>
      <c r="AE9" s="497"/>
      <c r="AF9" s="497"/>
      <c r="AG9" s="497"/>
      <c r="AH9" s="498"/>
      <c r="AL9" s="376">
        <f t="shared" si="0"/>
        <v>8</v>
      </c>
      <c r="AM9" s="377">
        <f>AM8</f>
        <v>20</v>
      </c>
      <c r="AN9" s="377">
        <v>4</v>
      </c>
      <c r="AO9" s="374"/>
      <c r="AP9" s="374"/>
    </row>
    <row r="10" spans="1:42" s="203" customFormat="1" ht="21.75" customHeight="1" thickBot="1" thickTop="1">
      <c r="A10" s="900" t="s">
        <v>15</v>
      </c>
      <c r="B10" s="901"/>
      <c r="C10" s="901"/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380" t="s">
        <v>163</v>
      </c>
      <c r="P10" s="381" t="s">
        <v>164</v>
      </c>
      <c r="Q10" s="382" t="s">
        <v>165</v>
      </c>
      <c r="R10" s="900" t="s">
        <v>16</v>
      </c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2"/>
      <c r="AF10" s="380" t="s">
        <v>163</v>
      </c>
      <c r="AG10" s="381" t="s">
        <v>164</v>
      </c>
      <c r="AH10" s="382" t="s">
        <v>165</v>
      </c>
      <c r="AL10" s="376">
        <f t="shared" si="0"/>
        <v>8</v>
      </c>
      <c r="AM10" s="377"/>
      <c r="AN10" s="377"/>
      <c r="AO10" s="374"/>
      <c r="AP10" s="374"/>
    </row>
    <row r="11" spans="1:42" s="203" customFormat="1" ht="18.75" customHeight="1" thickBot="1">
      <c r="A11" s="877" t="str">
        <f>IF(VLOOKUP(AL11,PlanS,AM11,FALSE)="","",(VLOOKUP(AL11,PlanS,AM11,FALSE)))</f>
        <v>Berliner Turnerschaft</v>
      </c>
      <c r="B11" s="878"/>
      <c r="C11" s="878"/>
      <c r="D11" s="878"/>
      <c r="E11" s="878"/>
      <c r="F11" s="878"/>
      <c r="G11" s="878"/>
      <c r="H11" s="878"/>
      <c r="I11" s="878"/>
      <c r="J11" s="878"/>
      <c r="K11" s="878"/>
      <c r="L11" s="878"/>
      <c r="M11" s="878"/>
      <c r="N11" s="878"/>
      <c r="O11" s="383"/>
      <c r="P11" s="384"/>
      <c r="Q11" s="385"/>
      <c r="R11" s="877" t="str">
        <f>IF(VLOOKUP(AL11,PlanS,AN11,FALSE)="","",(VLOOKUP(AL11,PlanS,AN11,FALSE)))</f>
        <v>Großenasper SV</v>
      </c>
      <c r="S11" s="878"/>
      <c r="T11" s="878"/>
      <c r="U11" s="878"/>
      <c r="V11" s="878"/>
      <c r="W11" s="878"/>
      <c r="X11" s="878"/>
      <c r="Y11" s="878"/>
      <c r="Z11" s="878"/>
      <c r="AA11" s="878"/>
      <c r="AB11" s="878"/>
      <c r="AC11" s="878"/>
      <c r="AD11" s="878"/>
      <c r="AE11" s="903"/>
      <c r="AF11" s="383"/>
      <c r="AG11" s="384"/>
      <c r="AH11" s="385"/>
      <c r="AL11" s="376">
        <f t="shared" si="0"/>
        <v>8</v>
      </c>
      <c r="AM11" s="377">
        <v>6</v>
      </c>
      <c r="AN11" s="377">
        <v>8</v>
      </c>
      <c r="AO11" s="374"/>
      <c r="AP11" s="374"/>
    </row>
    <row r="12" spans="1:34" s="203" customFormat="1" ht="18" customHeight="1" thickBot="1" thickTop="1">
      <c r="A12" s="386" t="s">
        <v>17</v>
      </c>
      <c r="B12" s="387" t="s">
        <v>18</v>
      </c>
      <c r="C12" s="388" t="s">
        <v>19</v>
      </c>
      <c r="D12" s="389"/>
      <c r="E12" s="390" t="s">
        <v>20</v>
      </c>
      <c r="F12" s="391"/>
      <c r="G12" s="391"/>
      <c r="H12" s="391"/>
      <c r="I12" s="391"/>
      <c r="J12" s="391"/>
      <c r="K12" s="391"/>
      <c r="L12" s="391"/>
      <c r="M12" s="391"/>
      <c r="N12" s="391"/>
      <c r="O12" s="392"/>
      <c r="P12" s="393"/>
      <c r="Q12" s="394"/>
      <c r="R12" s="386" t="s">
        <v>17</v>
      </c>
      <c r="S12" s="387" t="s">
        <v>18</v>
      </c>
      <c r="T12" s="388" t="s">
        <v>19</v>
      </c>
      <c r="U12" s="389"/>
      <c r="V12" s="390" t="s">
        <v>20</v>
      </c>
      <c r="W12" s="391"/>
      <c r="X12" s="391"/>
      <c r="Y12" s="391"/>
      <c r="Z12" s="391"/>
      <c r="AA12" s="391"/>
      <c r="AB12" s="391"/>
      <c r="AC12" s="391"/>
      <c r="AD12" s="391"/>
      <c r="AE12" s="391"/>
      <c r="AF12" s="392"/>
      <c r="AG12" s="393"/>
      <c r="AH12" s="394"/>
    </row>
    <row r="13" spans="1:34" s="404" customFormat="1" ht="18" customHeight="1" hidden="1" thickBot="1">
      <c r="A13" s="395"/>
      <c r="B13" s="396"/>
      <c r="C13" s="397"/>
      <c r="D13" s="398"/>
      <c r="E13" s="399">
        <f>HLOOKUP(A11,Mannschaften!B10:AF12,3,FALSE)</f>
        <v>46</v>
      </c>
      <c r="F13" s="400"/>
      <c r="G13" s="400"/>
      <c r="H13" s="400"/>
      <c r="I13" s="400"/>
      <c r="J13" s="400"/>
      <c r="K13" s="400"/>
      <c r="L13" s="400"/>
      <c r="M13" s="400"/>
      <c r="N13" s="400"/>
      <c r="O13" s="401"/>
      <c r="P13" s="402"/>
      <c r="Q13" s="403"/>
      <c r="R13" s="395"/>
      <c r="S13" s="396"/>
      <c r="T13" s="397"/>
      <c r="U13" s="398"/>
      <c r="V13" s="399">
        <f>HLOOKUP(R11,Mannschaften!B10:AF13,3,FALSE)</f>
        <v>22</v>
      </c>
      <c r="W13" s="400"/>
      <c r="X13" s="400"/>
      <c r="Y13" s="400"/>
      <c r="Z13" s="400"/>
      <c r="AA13" s="400"/>
      <c r="AB13" s="400"/>
      <c r="AC13" s="400"/>
      <c r="AD13" s="400"/>
      <c r="AE13" s="400"/>
      <c r="AF13" s="401"/>
      <c r="AG13" s="402"/>
      <c r="AH13" s="403"/>
    </row>
    <row r="14" spans="1:34" s="203" customFormat="1" ht="18" customHeight="1" thickTop="1">
      <c r="A14" s="405">
        <f>IF($A$11="","",IF(VLOOKUP(D14,Mannschaften!$B$13:$E$141,2,FALSE)=0,"",(VLOOKUP(D14,Mannschaften!$B$13:$E$141,2,FALSE))))</f>
      </c>
      <c r="B14" s="406">
        <f>IF($A$11="","",IF(VLOOKUP(D14,Mannschaften!$B$13:$E$141,3,FALSE)=0,"",(VLOOKUP(D14,Mannschaften!$B$13:$E$141,3,FALSE))))</f>
      </c>
      <c r="C14" s="100"/>
      <c r="D14" s="407">
        <f>E13</f>
        <v>46</v>
      </c>
      <c r="E14" s="858" t="str">
        <f>IF($A$11="","",IF(VLOOKUP(D14,Mannschaften!$B$13:$E$141,4,FALSE)=0,"",(VLOOKUP(D14,Mannschaften!$B$13:$E$141,4,FALSE))))</f>
        <v>Schlegel, Hendrik</v>
      </c>
      <c r="F14" s="859"/>
      <c r="G14" s="859"/>
      <c r="H14" s="859"/>
      <c r="I14" s="859"/>
      <c r="J14" s="859"/>
      <c r="K14" s="859"/>
      <c r="L14" s="859"/>
      <c r="M14" s="859"/>
      <c r="N14" s="860"/>
      <c r="O14" s="101"/>
      <c r="P14" s="102"/>
      <c r="Q14" s="103"/>
      <c r="R14" s="405">
        <f>IF($R$11="","",IF(VLOOKUP(U14,Mannschaften!$B$13:$E$141,2,FALSE)=0,"",(VLOOKUP(U14,Mannschaften!$B$13:$E$141,2,FALSE))))</f>
      </c>
      <c r="S14" s="406">
        <f>IF($R$11="","",IF(VLOOKUP(U14,Mannschaften!$B$13:$E$141,3,FALSE)=0,"",(VLOOKUP(U14,Mannschaften!$B$13:$E$141,3,FALSE))))</f>
      </c>
      <c r="T14" s="100"/>
      <c r="U14" s="407">
        <f>V13</f>
        <v>22</v>
      </c>
      <c r="V14" s="858" t="str">
        <f>IF($R$11="","",IF(VLOOKUP(U14,Mannschaften!$B$13:$E$141,4,FALSE)=0,"",(VLOOKUP(U14,Mannschaften!$B$13:$E$141,4,FALSE))))</f>
        <v>Maack, Eike</v>
      </c>
      <c r="W14" s="859"/>
      <c r="X14" s="859"/>
      <c r="Y14" s="859"/>
      <c r="Z14" s="859"/>
      <c r="AA14" s="859"/>
      <c r="AB14" s="859"/>
      <c r="AC14" s="859"/>
      <c r="AD14" s="859"/>
      <c r="AE14" s="860"/>
      <c r="AF14" s="101"/>
      <c r="AG14" s="102"/>
      <c r="AH14" s="103"/>
    </row>
    <row r="15" spans="1:34" s="203" customFormat="1" ht="18" customHeight="1">
      <c r="A15" s="408">
        <f>IF($A$11="","",IF(VLOOKUP(D15,Mannschaften!$B$13:$E$141,2,FALSE)=0,"",(VLOOKUP(D15,Mannschaften!$B$13:$E$141,2,FALSE))))</f>
      </c>
      <c r="B15" s="409">
        <f>IF($A$11="","",IF(VLOOKUP(D15,Mannschaften!$B$13:$E$141,3,FALSE)=0,"",(VLOOKUP(D15,Mannschaften!$B$13:$E$141,3,FALSE))))</f>
      </c>
      <c r="C15" s="104"/>
      <c r="D15" s="375">
        <f>D14+1</f>
        <v>47</v>
      </c>
      <c r="E15" s="852" t="str">
        <f>IF($A$11="","",IF(VLOOKUP(D15,Mannschaften!$B$13:$E$141,4,FALSE)=0,"",(VLOOKUP(D15,Mannschaften!$B$13:$E$141,4,FALSE))))</f>
        <v>Linus, Richter</v>
      </c>
      <c r="F15" s="853"/>
      <c r="G15" s="853"/>
      <c r="H15" s="853"/>
      <c r="I15" s="853"/>
      <c r="J15" s="853"/>
      <c r="K15" s="853"/>
      <c r="L15" s="853"/>
      <c r="M15" s="853"/>
      <c r="N15" s="854"/>
      <c r="O15" s="105"/>
      <c r="P15" s="106"/>
      <c r="Q15" s="107"/>
      <c r="R15" s="408">
        <f>IF($R$11="","",IF(VLOOKUP(U15,Mannschaften!$B$13:$E$141,2,FALSE)=0,"",(VLOOKUP(U15,Mannschaften!$B$13:$E$141,2,FALSE))))</f>
      </c>
      <c r="S15" s="409">
        <f>IF($R$11="","",IF(VLOOKUP(U15,Mannschaften!$B$13:$E$141,3,FALSE)=0,"",(VLOOKUP(U15,Mannschaften!$B$13:$E$141,3,FALSE))))</f>
      </c>
      <c r="T15" s="104"/>
      <c r="U15" s="375">
        <f>U14+1</f>
        <v>23</v>
      </c>
      <c r="V15" s="852" t="str">
        <f>IF($R$11="","",IF(VLOOKUP(U15,Mannschaften!$B$13:$E$141,4,FALSE)=0,"",(VLOOKUP(U15,Mannschaften!$B$13:$E$141,4,FALSE))))</f>
        <v>von Seelen, Felix</v>
      </c>
      <c r="W15" s="853"/>
      <c r="X15" s="853"/>
      <c r="Y15" s="853"/>
      <c r="Z15" s="853"/>
      <c r="AA15" s="853"/>
      <c r="AB15" s="853"/>
      <c r="AC15" s="853"/>
      <c r="AD15" s="853"/>
      <c r="AE15" s="854"/>
      <c r="AF15" s="105"/>
      <c r="AG15" s="106"/>
      <c r="AH15" s="107"/>
    </row>
    <row r="16" spans="1:34" s="203" customFormat="1" ht="18" customHeight="1">
      <c r="A16" s="408">
        <f>IF($A$11="","",IF(VLOOKUP(D16,Mannschaften!$B$13:$E$141,2,FALSE)=0,"",(VLOOKUP(D16,Mannschaften!$B$13:$E$141,2,FALSE))))</f>
      </c>
      <c r="B16" s="409">
        <f>IF($A$11="","",IF(VLOOKUP(D16,Mannschaften!$B$13:$E$141,3,FALSE)=0,"",(VLOOKUP(D16,Mannschaften!$B$13:$E$141,3,FALSE))))</f>
      </c>
      <c r="C16" s="108"/>
      <c r="D16" s="375">
        <f aca="true" t="shared" si="1" ref="D16:D25">D15+1</f>
        <v>48</v>
      </c>
      <c r="E16" s="852" t="str">
        <f>IF($A$11="","",IF(VLOOKUP(D16,Mannschaften!$B$13:$E$141,4,FALSE)=0,"",(VLOOKUP(D16,Mannschaften!$B$13:$E$141,4,FALSE))))</f>
        <v>Aßmann, Tim</v>
      </c>
      <c r="F16" s="853"/>
      <c r="G16" s="853"/>
      <c r="H16" s="853"/>
      <c r="I16" s="853"/>
      <c r="J16" s="853"/>
      <c r="K16" s="853"/>
      <c r="L16" s="853"/>
      <c r="M16" s="853"/>
      <c r="N16" s="854"/>
      <c r="O16" s="105"/>
      <c r="P16" s="109"/>
      <c r="Q16" s="107"/>
      <c r="R16" s="408">
        <f>IF($R$11="","",IF(VLOOKUP(U16,Mannschaften!$B$13:$E$141,2,FALSE)=0,"",(VLOOKUP(U16,Mannschaften!$B$13:$E$141,2,FALSE))))</f>
      </c>
      <c r="S16" s="409">
        <f>IF($R$11="","",IF(VLOOKUP(U16,Mannschaften!$B$13:$E$141,3,FALSE)=0,"",(VLOOKUP(U16,Mannschaften!$B$13:$E$141,3,FALSE))))</f>
      </c>
      <c r="T16" s="108"/>
      <c r="U16" s="375">
        <f aca="true" t="shared" si="2" ref="U16:U25">U15+1</f>
        <v>24</v>
      </c>
      <c r="V16" s="852" t="str">
        <f>IF($R$11="","",IF(VLOOKUP(U16,Mannschaften!$B$13:$E$141,4,FALSE)=0,"",(VLOOKUP(U16,Mannschaften!$B$13:$E$141,4,FALSE))))</f>
        <v>Lingelbach, Christian</v>
      </c>
      <c r="W16" s="853"/>
      <c r="X16" s="853"/>
      <c r="Y16" s="853"/>
      <c r="Z16" s="853"/>
      <c r="AA16" s="853"/>
      <c r="AB16" s="853"/>
      <c r="AC16" s="853"/>
      <c r="AD16" s="853"/>
      <c r="AE16" s="854"/>
      <c r="AF16" s="105"/>
      <c r="AG16" s="109"/>
      <c r="AH16" s="107"/>
    </row>
    <row r="17" spans="1:34" s="203" customFormat="1" ht="18" customHeight="1">
      <c r="A17" s="408">
        <f>IF($A$11="","",IF(VLOOKUP(D17,Mannschaften!$B$13:$E$141,2,FALSE)=0,"",(VLOOKUP(D17,Mannschaften!$B$13:$E$141,2,FALSE))))</f>
      </c>
      <c r="B17" s="409">
        <f>IF($A$11="","",IF(VLOOKUP(D17,Mannschaften!$B$13:$E$141,3,FALSE)=0,"",(VLOOKUP(D17,Mannschaften!$B$13:$E$141,3,FALSE))))</f>
      </c>
      <c r="C17" s="110"/>
      <c r="D17" s="375">
        <f t="shared" si="1"/>
        <v>49</v>
      </c>
      <c r="E17" s="852" t="str">
        <f>IF($A$11="","",IF(VLOOKUP(D17,Mannschaften!$B$13:$E$141,4,FALSE)=0,"",(VLOOKUP(D17,Mannschaften!$B$13:$E$141,4,FALSE))))</f>
        <v>Wilksen, Lean</v>
      </c>
      <c r="F17" s="853"/>
      <c r="G17" s="853"/>
      <c r="H17" s="853"/>
      <c r="I17" s="853"/>
      <c r="J17" s="853"/>
      <c r="K17" s="853"/>
      <c r="L17" s="853"/>
      <c r="M17" s="853"/>
      <c r="N17" s="854"/>
      <c r="O17" s="105"/>
      <c r="P17" s="109"/>
      <c r="Q17" s="107"/>
      <c r="R17" s="408">
        <f>IF($R$11="","",IF(VLOOKUP(U17,Mannschaften!$B$13:$E$141,2,FALSE)=0,"",(VLOOKUP(U17,Mannschaften!$B$13:$E$141,2,FALSE))))</f>
      </c>
      <c r="S17" s="409">
        <f>IF($R$11="","",IF(VLOOKUP(U17,Mannschaften!$B$13:$E$141,3,FALSE)=0,"",(VLOOKUP(U17,Mannschaften!$B$13:$E$141,3,FALSE))))</f>
      </c>
      <c r="T17" s="110"/>
      <c r="U17" s="375">
        <f t="shared" si="2"/>
        <v>25</v>
      </c>
      <c r="V17" s="852" t="str">
        <f>IF($R$11="","",IF(VLOOKUP(U17,Mannschaften!$B$13:$E$141,4,FALSE)=0,"",(VLOOKUP(U17,Mannschaften!$B$13:$E$141,4,FALSE))))</f>
        <v>Schuldt, Ole</v>
      </c>
      <c r="W17" s="853"/>
      <c r="X17" s="853"/>
      <c r="Y17" s="853"/>
      <c r="Z17" s="853"/>
      <c r="AA17" s="853"/>
      <c r="AB17" s="853"/>
      <c r="AC17" s="853"/>
      <c r="AD17" s="853"/>
      <c r="AE17" s="854"/>
      <c r="AF17" s="105"/>
      <c r="AG17" s="109"/>
      <c r="AH17" s="107"/>
    </row>
    <row r="18" spans="1:34" s="203" customFormat="1" ht="18" customHeight="1">
      <c r="A18" s="408">
        <f>IF($A$11="","",IF(VLOOKUP(D18,Mannschaften!$B$13:$E$141,2,FALSE)=0,"",(VLOOKUP(D18,Mannschaften!$B$13:$E$141,2,FALSE))))</f>
      </c>
      <c r="B18" s="409">
        <f>IF($A$11="","",IF(VLOOKUP(D18,Mannschaften!$B$13:$E$141,3,FALSE)=0,"",(VLOOKUP(D18,Mannschaften!$B$13:$E$141,3,FALSE))))</f>
      </c>
      <c r="C18" s="111"/>
      <c r="D18" s="375">
        <f t="shared" si="1"/>
        <v>50</v>
      </c>
      <c r="E18" s="852" t="str">
        <f>IF($A$11="","",IF(VLOOKUP(D18,Mannschaften!$B$13:$E$141,4,FALSE)=0,"",(VLOOKUP(D18,Mannschaften!$B$13:$E$141,4,FALSE))))</f>
        <v>Wilksen, Tobias</v>
      </c>
      <c r="F18" s="853"/>
      <c r="G18" s="853"/>
      <c r="H18" s="853"/>
      <c r="I18" s="853"/>
      <c r="J18" s="853"/>
      <c r="K18" s="853"/>
      <c r="L18" s="853"/>
      <c r="M18" s="853"/>
      <c r="N18" s="854"/>
      <c r="O18" s="105"/>
      <c r="P18" s="112"/>
      <c r="Q18" s="107"/>
      <c r="R18" s="408">
        <f>IF($R$11="","",IF(VLOOKUP(U18,Mannschaften!$B$13:$E$141,2,FALSE)=0,"",(VLOOKUP(U18,Mannschaften!$B$13:$E$141,2,FALSE))))</f>
      </c>
      <c r="S18" s="409">
        <f>IF($R$11="","",IF(VLOOKUP(U18,Mannschaften!$B$13:$E$141,3,FALSE)=0,"",(VLOOKUP(U18,Mannschaften!$B$13:$E$141,3,FALSE))))</f>
      </c>
      <c r="T18" s="111"/>
      <c r="U18" s="375">
        <f t="shared" si="2"/>
        <v>26</v>
      </c>
      <c r="V18" s="852" t="str">
        <f>IF($R$11="","",IF(VLOOKUP(U18,Mannschaften!$B$13:$E$141,4,FALSE)=0,"",(VLOOKUP(U18,Mannschaften!$B$13:$E$141,4,FALSE))))</f>
        <v>Omar, Laichaoui</v>
      </c>
      <c r="W18" s="853"/>
      <c r="X18" s="853"/>
      <c r="Y18" s="853"/>
      <c r="Z18" s="853"/>
      <c r="AA18" s="853"/>
      <c r="AB18" s="853"/>
      <c r="AC18" s="853"/>
      <c r="AD18" s="853"/>
      <c r="AE18" s="854"/>
      <c r="AF18" s="105"/>
      <c r="AG18" s="112"/>
      <c r="AH18" s="107"/>
    </row>
    <row r="19" spans="1:34" s="203" customFormat="1" ht="18" customHeight="1">
      <c r="A19" s="408">
        <f>IF($A$11="","",IF(VLOOKUP(D19,Mannschaften!$B$13:$E$141,2,FALSE)=0,"",(VLOOKUP(D19,Mannschaften!$B$13:$E$141,2,FALSE))))</f>
      </c>
      <c r="B19" s="409">
        <f>IF($A$11="","",IF(VLOOKUP(D19,Mannschaften!$B$13:$E$141,3,FALSE)=0,"",(VLOOKUP(D19,Mannschaften!$B$13:$E$141,3,FALSE))))</f>
      </c>
      <c r="C19" s="110"/>
      <c r="D19" s="375">
        <f t="shared" si="1"/>
        <v>51</v>
      </c>
      <c r="E19" s="852" t="str">
        <f>IF($A$11="","",IF(VLOOKUP(D19,Mannschaften!$B$13:$E$141,4,FALSE)=0,"",(VLOOKUP(D19,Mannschaften!$B$13:$E$141,4,FALSE))))</f>
        <v>Kahle, Enrico</v>
      </c>
      <c r="F19" s="853"/>
      <c r="G19" s="853"/>
      <c r="H19" s="853"/>
      <c r="I19" s="853"/>
      <c r="J19" s="853"/>
      <c r="K19" s="853"/>
      <c r="L19" s="853"/>
      <c r="M19" s="853"/>
      <c r="N19" s="854"/>
      <c r="O19" s="105"/>
      <c r="P19" s="109"/>
      <c r="Q19" s="107"/>
      <c r="R19" s="408">
        <f>IF($R$11="","",IF(VLOOKUP(U19,Mannschaften!$B$13:$E$141,2,FALSE)=0,"",(VLOOKUP(U19,Mannschaften!$B$13:$E$141,2,FALSE))))</f>
      </c>
      <c r="S19" s="409">
        <f>IF($R$11="","",IF(VLOOKUP(U19,Mannschaften!$B$13:$E$141,3,FALSE)=0,"",(VLOOKUP(U19,Mannschaften!$B$13:$E$141,3,FALSE))))</f>
      </c>
      <c r="T19" s="110"/>
      <c r="U19" s="375">
        <f t="shared" si="2"/>
        <v>27</v>
      </c>
      <c r="V19" s="852" t="str">
        <f>IF($R$11="","",IF(VLOOKUP(U19,Mannschaften!$B$13:$E$141,4,FALSE)=0,"",(VLOOKUP(U19,Mannschaften!$B$13:$E$141,4,FALSE))))</f>
        <v>Maack, Henrik</v>
      </c>
      <c r="W19" s="853"/>
      <c r="X19" s="853"/>
      <c r="Y19" s="853"/>
      <c r="Z19" s="853"/>
      <c r="AA19" s="853"/>
      <c r="AB19" s="853"/>
      <c r="AC19" s="853"/>
      <c r="AD19" s="853"/>
      <c r="AE19" s="854"/>
      <c r="AF19" s="105"/>
      <c r="AG19" s="109"/>
      <c r="AH19" s="107"/>
    </row>
    <row r="20" spans="1:34" s="203" customFormat="1" ht="18" customHeight="1">
      <c r="A20" s="408">
        <f>IF($A$11="","",IF(VLOOKUP(D20,Mannschaften!$B$13:$E$141,2,FALSE)=0,"",(VLOOKUP(D20,Mannschaften!$B$13:$E$141,2,FALSE))))</f>
      </c>
      <c r="B20" s="409">
        <f>IF($A$11="","",IF(VLOOKUP(D20,Mannschaften!$B$13:$E$141,3,FALSE)=0,"",(VLOOKUP(D20,Mannschaften!$B$13:$E$141,3,FALSE))))</f>
      </c>
      <c r="C20" s="110"/>
      <c r="D20" s="375">
        <f t="shared" si="1"/>
        <v>52</v>
      </c>
      <c r="E20" s="852">
        <f>IF($A$11="","",IF(VLOOKUP(D20,Mannschaften!$B$13:$E$141,4,FALSE)=0,"",(VLOOKUP(D20,Mannschaften!$B$13:$E$141,4,FALSE))))</f>
      </c>
      <c r="F20" s="853"/>
      <c r="G20" s="853"/>
      <c r="H20" s="853"/>
      <c r="I20" s="853"/>
      <c r="J20" s="853"/>
      <c r="K20" s="853"/>
      <c r="L20" s="853"/>
      <c r="M20" s="853"/>
      <c r="N20" s="854"/>
      <c r="O20" s="105"/>
      <c r="P20" s="109"/>
      <c r="Q20" s="107"/>
      <c r="R20" s="408">
        <f>IF($R$11="","",IF(VLOOKUP(U20,Mannschaften!$B$13:$E$141,2,FALSE)=0,"",(VLOOKUP(U20,Mannschaften!$B$13:$E$141,2,FALSE))))</f>
      </c>
      <c r="S20" s="409">
        <f>IF($R$11="","",IF(VLOOKUP(U20,Mannschaften!$B$13:$E$141,3,FALSE)=0,"",(VLOOKUP(U20,Mannschaften!$B$13:$E$141,3,FALSE))))</f>
      </c>
      <c r="T20" s="110"/>
      <c r="U20" s="375">
        <f t="shared" si="2"/>
        <v>28</v>
      </c>
      <c r="V20" s="852" t="str">
        <f>IF($R$11="","",IF(VLOOKUP(U20,Mannschaften!$B$13:$E$141,4,FALSE)=0,"",(VLOOKUP(U20,Mannschaften!$B$13:$E$141,4,FALSE))))</f>
        <v>Ventz, Tino</v>
      </c>
      <c r="W20" s="853"/>
      <c r="X20" s="853"/>
      <c r="Y20" s="853"/>
      <c r="Z20" s="853"/>
      <c r="AA20" s="853"/>
      <c r="AB20" s="853"/>
      <c r="AC20" s="853"/>
      <c r="AD20" s="853"/>
      <c r="AE20" s="854"/>
      <c r="AF20" s="105"/>
      <c r="AG20" s="109"/>
      <c r="AH20" s="107"/>
    </row>
    <row r="21" spans="1:34" s="203" customFormat="1" ht="18" customHeight="1">
      <c r="A21" s="408">
        <f>IF($A$11="","",IF(VLOOKUP(D21,Mannschaften!$B$13:$E$141,2,FALSE)=0,"",(VLOOKUP(D21,Mannschaften!$B$13:$E$141,2,FALSE))))</f>
      </c>
      <c r="B21" s="409">
        <f>IF($A$11="","",IF(VLOOKUP(D21,Mannschaften!$B$13:$E$141,3,FALSE)=0,"",(VLOOKUP(D21,Mannschaften!$B$13:$E$141,3,FALSE))))</f>
      </c>
      <c r="C21" s="110"/>
      <c r="D21" s="375">
        <f t="shared" si="1"/>
        <v>53</v>
      </c>
      <c r="E21" s="852">
        <f>IF($A$11="","",IF(VLOOKUP(D21,Mannschaften!$B$13:$E$141,4,FALSE)=0,"",(VLOOKUP(D21,Mannschaften!$B$13:$E$141,4,FALSE))))</f>
      </c>
      <c r="F21" s="853"/>
      <c r="G21" s="853"/>
      <c r="H21" s="853"/>
      <c r="I21" s="853"/>
      <c r="J21" s="853"/>
      <c r="K21" s="853"/>
      <c r="L21" s="853"/>
      <c r="M21" s="853"/>
      <c r="N21" s="854"/>
      <c r="O21" s="105"/>
      <c r="P21" s="109"/>
      <c r="Q21" s="107"/>
      <c r="R21" s="408">
        <f>IF($R$11="","",IF(VLOOKUP(U21,Mannschaften!$B$13:$E$141,2,FALSE)=0,"",(VLOOKUP(U21,Mannschaften!$B$13:$E$141,2,FALSE))))</f>
      </c>
      <c r="S21" s="409">
        <f>IF($R$11="","",IF(VLOOKUP(U21,Mannschaften!$B$13:$E$141,3,FALSE)=0,"",(VLOOKUP(U21,Mannschaften!$B$13:$E$141,3,FALSE))))</f>
      </c>
      <c r="T21" s="110"/>
      <c r="U21" s="375">
        <f t="shared" si="2"/>
        <v>29</v>
      </c>
      <c r="V21" s="852">
        <f>IF($R$11="","",IF(VLOOKUP(U21,Mannschaften!$B$13:$E$141,4,FALSE)=0,"",(VLOOKUP(U21,Mannschaften!$B$13:$E$141,4,FALSE))))</f>
      </c>
      <c r="W21" s="853"/>
      <c r="X21" s="853"/>
      <c r="Y21" s="853"/>
      <c r="Z21" s="853"/>
      <c r="AA21" s="853"/>
      <c r="AB21" s="853"/>
      <c r="AC21" s="853"/>
      <c r="AD21" s="853"/>
      <c r="AE21" s="854"/>
      <c r="AF21" s="105"/>
      <c r="AG21" s="109"/>
      <c r="AH21" s="107"/>
    </row>
    <row r="22" spans="1:34" s="203" customFormat="1" ht="18" customHeight="1">
      <c r="A22" s="408">
        <f>IF($A$11="","",IF(VLOOKUP(D22,Mannschaften!$B$13:$E$141,2,FALSE)=0,"",(VLOOKUP(D22,Mannschaften!$B$13:$E$141,2,FALSE))))</f>
      </c>
      <c r="B22" s="409">
        <f>IF($A$11="","",IF(VLOOKUP(D22,Mannschaften!$B$13:$E$141,3,FALSE)=0,"",(VLOOKUP(D22,Mannschaften!$B$13:$E$141,3,FALSE))))</f>
      </c>
      <c r="C22" s="110"/>
      <c r="D22" s="375">
        <f t="shared" si="1"/>
        <v>54</v>
      </c>
      <c r="E22" s="852">
        <f>IF($A$11="","",IF(VLOOKUP(D22,Mannschaften!$B$13:$E$141,4,FALSE)=0,"",(VLOOKUP(D22,Mannschaften!$B$13:$E$141,4,FALSE))))</f>
      </c>
      <c r="F22" s="853"/>
      <c r="G22" s="853"/>
      <c r="H22" s="853"/>
      <c r="I22" s="853"/>
      <c r="J22" s="853"/>
      <c r="K22" s="853"/>
      <c r="L22" s="853"/>
      <c r="M22" s="853"/>
      <c r="N22" s="854"/>
      <c r="O22" s="105"/>
      <c r="P22" s="113"/>
      <c r="Q22" s="114"/>
      <c r="R22" s="408">
        <f>IF($R$11="","",IF(VLOOKUP(U22,Mannschaften!$B$13:$E$141,2,FALSE)=0,"",(VLOOKUP(U22,Mannschaften!$B$13:$E$141,2,FALSE))))</f>
      </c>
      <c r="S22" s="409">
        <f>IF($R$11="","",IF(VLOOKUP(U22,Mannschaften!$B$13:$E$141,3,FALSE)=0,"",(VLOOKUP(U22,Mannschaften!$B$13:$E$141,3,FALSE))))</f>
      </c>
      <c r="T22" s="110"/>
      <c r="U22" s="375">
        <f t="shared" si="2"/>
        <v>30</v>
      </c>
      <c r="V22" s="852">
        <f>IF($R$11="","",IF(VLOOKUP(U22,Mannschaften!$B$13:$E$141,4,FALSE)=0,"",(VLOOKUP(U22,Mannschaften!$B$13:$E$141,4,FALSE))))</f>
      </c>
      <c r="W22" s="853"/>
      <c r="X22" s="853"/>
      <c r="Y22" s="853"/>
      <c r="Z22" s="853"/>
      <c r="AA22" s="853"/>
      <c r="AB22" s="853"/>
      <c r="AC22" s="853"/>
      <c r="AD22" s="853"/>
      <c r="AE22" s="854"/>
      <c r="AF22" s="105"/>
      <c r="AG22" s="113"/>
      <c r="AH22" s="114"/>
    </row>
    <row r="23" spans="1:34" s="203" customFormat="1" ht="18" customHeight="1" thickBot="1">
      <c r="A23" s="410">
        <f>IF($A$11="","",IF(VLOOKUP(D23,Mannschaften!$B$13:$E$141,2,FALSE)=0,"",(VLOOKUP(D23,Mannschaften!$B$13:$E$141,2,FALSE))))</f>
      </c>
      <c r="B23" s="411">
        <f>IF($A$11="","",IF(VLOOKUP(D23,Mannschaften!$B$13:$E$141,3,FALSE)=0,"",(VLOOKUP(D23,Mannschaften!$B$13:$E$141,3,FALSE))))</f>
      </c>
      <c r="C23" s="115"/>
      <c r="D23" s="379">
        <f t="shared" si="1"/>
        <v>55</v>
      </c>
      <c r="E23" s="855">
        <f>IF($A$11="","",IF(VLOOKUP(D23,Mannschaften!$B$13:$E$141,4,FALSE)=0,"",(VLOOKUP(D23,Mannschaften!$B$13:$E$141,4,FALSE))))</f>
      </c>
      <c r="F23" s="856"/>
      <c r="G23" s="856"/>
      <c r="H23" s="856"/>
      <c r="I23" s="856"/>
      <c r="J23" s="856"/>
      <c r="K23" s="856"/>
      <c r="L23" s="856"/>
      <c r="M23" s="856"/>
      <c r="N23" s="857"/>
      <c r="O23" s="116"/>
      <c r="P23" s="117"/>
      <c r="Q23" s="118"/>
      <c r="R23" s="410">
        <f>IF($R$11="","",IF(VLOOKUP(U23,Mannschaften!$B$13:$E$141,2,FALSE)=0,"",(VLOOKUP(U23,Mannschaften!$B$13:$E$141,2,FALSE))))</f>
      </c>
      <c r="S23" s="411">
        <f>IF($R$11="","",IF(VLOOKUP(U23,Mannschaften!$B$13:$E$141,3,FALSE)=0,"",(VLOOKUP(U23,Mannschaften!$B$13:$E$141,3,FALSE))))</f>
      </c>
      <c r="T23" s="115"/>
      <c r="U23" s="379">
        <f t="shared" si="2"/>
        <v>31</v>
      </c>
      <c r="V23" s="855">
        <f>IF($R$11="","",IF(VLOOKUP(U23,Mannschaften!$B$13:$E$141,4,FALSE)=0,"",(VLOOKUP(U23,Mannschaften!$B$13:$E$141,4,FALSE))))</f>
      </c>
      <c r="W23" s="856"/>
      <c r="X23" s="856"/>
      <c r="Y23" s="856"/>
      <c r="Z23" s="856"/>
      <c r="AA23" s="856"/>
      <c r="AB23" s="856"/>
      <c r="AC23" s="856"/>
      <c r="AD23" s="856"/>
      <c r="AE23" s="857"/>
      <c r="AF23" s="116"/>
      <c r="AG23" s="117"/>
      <c r="AH23" s="118"/>
    </row>
    <row r="24" spans="1:34" s="203" customFormat="1" ht="18" customHeight="1" thickTop="1">
      <c r="A24" s="412" t="s">
        <v>21</v>
      </c>
      <c r="B24" s="413"/>
      <c r="C24" s="414"/>
      <c r="D24" s="368">
        <f t="shared" si="1"/>
        <v>56</v>
      </c>
      <c r="E24" s="858" t="str">
        <f>IF($A$11="","",IF(VLOOKUP(D24,Mannschaften!$B$13:$E$141,4,FALSE)=0,"",(VLOOKUP(D24,Mannschaften!$B$13:$E$141,4,FALSE))))</f>
        <v>Richter, Jens</v>
      </c>
      <c r="F24" s="859"/>
      <c r="G24" s="859"/>
      <c r="H24" s="859"/>
      <c r="I24" s="859"/>
      <c r="J24" s="859"/>
      <c r="K24" s="859"/>
      <c r="L24" s="859"/>
      <c r="M24" s="859"/>
      <c r="N24" s="860"/>
      <c r="O24" s="101"/>
      <c r="P24" s="119"/>
      <c r="Q24" s="120"/>
      <c r="R24" s="412" t="s">
        <v>21</v>
      </c>
      <c r="S24" s="413"/>
      <c r="T24" s="414"/>
      <c r="U24" s="368">
        <f t="shared" si="2"/>
        <v>32</v>
      </c>
      <c r="V24" s="858" t="str">
        <f>IF($R$11="","",IF(VLOOKUP(U24,Mannschaften!$B$13:$E$141,4,FALSE)=0,"",(VLOOKUP(U24,Mannschaften!$B$13:$E$141,4,FALSE))))</f>
        <v>Maack, Burghardt</v>
      </c>
      <c r="W24" s="859"/>
      <c r="X24" s="859"/>
      <c r="Y24" s="859"/>
      <c r="Z24" s="859"/>
      <c r="AA24" s="859"/>
      <c r="AB24" s="859"/>
      <c r="AC24" s="859"/>
      <c r="AD24" s="859"/>
      <c r="AE24" s="860"/>
      <c r="AF24" s="101"/>
      <c r="AG24" s="119"/>
      <c r="AH24" s="120"/>
    </row>
    <row r="25" spans="1:34" s="203" customFormat="1" ht="18" customHeight="1" thickBot="1">
      <c r="A25" s="415" t="s">
        <v>22</v>
      </c>
      <c r="B25" s="416"/>
      <c r="C25" s="417"/>
      <c r="D25" s="378">
        <f t="shared" si="1"/>
        <v>57</v>
      </c>
      <c r="E25" s="861" t="str">
        <f>IF($A$11="","",IF(VLOOKUP(D25,Mannschaften!$B$13:$E$141,4,FALSE)=0,"",(VLOOKUP(D25,Mannschaften!$B$13:$E$141,4,FALSE))))</f>
        <v>Wilksen, Peter</v>
      </c>
      <c r="F25" s="862"/>
      <c r="G25" s="862"/>
      <c r="H25" s="862"/>
      <c r="I25" s="862"/>
      <c r="J25" s="862"/>
      <c r="K25" s="862"/>
      <c r="L25" s="862"/>
      <c r="M25" s="862"/>
      <c r="N25" s="863"/>
      <c r="O25" s="121"/>
      <c r="P25" s="122"/>
      <c r="Q25" s="123"/>
      <c r="R25" s="415" t="s">
        <v>22</v>
      </c>
      <c r="S25" s="416"/>
      <c r="T25" s="417"/>
      <c r="U25" s="378">
        <f t="shared" si="2"/>
        <v>33</v>
      </c>
      <c r="V25" s="861">
        <f>IF($R$11="","",IF(VLOOKUP(U25,Mannschaften!$B$13:$E$141,4,FALSE)=0,"",(VLOOKUP(U25,Mannschaften!$B$13:$E$141,4,FALSE))))</f>
      </c>
      <c r="W25" s="862"/>
      <c r="X25" s="862"/>
      <c r="Y25" s="862"/>
      <c r="Z25" s="862"/>
      <c r="AA25" s="862"/>
      <c r="AB25" s="862"/>
      <c r="AC25" s="862"/>
      <c r="AD25" s="862"/>
      <c r="AE25" s="863"/>
      <c r="AF25" s="121"/>
      <c r="AG25" s="122"/>
      <c r="AH25" s="123"/>
    </row>
    <row r="26" spans="1:34" s="203" customFormat="1" ht="18" customHeight="1" thickBot="1" thickTop="1">
      <c r="A26" s="124" t="s">
        <v>23</v>
      </c>
      <c r="B26" s="125"/>
      <c r="C26" s="126"/>
      <c r="D26" s="127"/>
      <c r="E26" s="126"/>
      <c r="F26" s="126"/>
      <c r="G26" s="98"/>
      <c r="H26" s="128" t="s">
        <v>24</v>
      </c>
      <c r="I26" s="476"/>
      <c r="J26" s="128" t="s">
        <v>25</v>
      </c>
      <c r="K26" s="129"/>
      <c r="L26" s="875" t="s">
        <v>120</v>
      </c>
      <c r="M26" s="876"/>
      <c r="N26" s="876"/>
      <c r="O26" s="128" t="s">
        <v>26</v>
      </c>
      <c r="P26" s="130"/>
      <c r="Q26" s="131" t="s">
        <v>25</v>
      </c>
      <c r="R26" s="132"/>
      <c r="S26" s="904" t="s">
        <v>166</v>
      </c>
      <c r="T26" s="905"/>
      <c r="U26" s="905"/>
      <c r="V26" s="905"/>
      <c r="W26" s="905"/>
      <c r="X26" s="905"/>
      <c r="Y26" s="906"/>
      <c r="Z26" s="906"/>
      <c r="AA26" s="906"/>
      <c r="AB26" s="906"/>
      <c r="AC26" s="906"/>
      <c r="AD26" s="906"/>
      <c r="AE26" s="906"/>
      <c r="AF26" s="906"/>
      <c r="AG26" s="906"/>
      <c r="AH26" s="907"/>
    </row>
    <row r="27" spans="1:34" ht="18" customHeight="1">
      <c r="A27" s="864" t="s">
        <v>129</v>
      </c>
      <c r="B27" s="428"/>
      <c r="C27" s="314" t="s">
        <v>26</v>
      </c>
      <c r="D27" s="133"/>
      <c r="E27" s="422"/>
      <c r="F27" s="134"/>
      <c r="G27" s="134"/>
      <c r="H27" s="134"/>
      <c r="I27" s="135"/>
      <c r="J27" s="136"/>
      <c r="K27" s="134"/>
      <c r="L27" s="134"/>
      <c r="M27" s="134"/>
      <c r="N27" s="135"/>
      <c r="O27" s="136"/>
      <c r="P27" s="134"/>
      <c r="Q27" s="134"/>
      <c r="R27" s="134"/>
      <c r="S27" s="135"/>
      <c r="T27" s="136"/>
      <c r="U27" s="419"/>
      <c r="V27" s="134"/>
      <c r="W27" s="134"/>
      <c r="X27" s="134"/>
      <c r="Y27" s="137"/>
      <c r="Z27" s="136"/>
      <c r="AA27" s="134"/>
      <c r="AB27" s="134"/>
      <c r="AC27" s="134"/>
      <c r="AD27" s="135"/>
      <c r="AE27" s="136"/>
      <c r="AF27" s="134"/>
      <c r="AG27" s="134"/>
      <c r="AH27" s="423"/>
    </row>
    <row r="28" spans="1:34" ht="18" customHeight="1" thickBot="1">
      <c r="A28" s="865"/>
      <c r="B28" s="429"/>
      <c r="C28" s="323" t="s">
        <v>25</v>
      </c>
      <c r="D28" s="138"/>
      <c r="E28" s="424"/>
      <c r="F28" s="139"/>
      <c r="G28" s="139"/>
      <c r="H28" s="139"/>
      <c r="I28" s="140"/>
      <c r="J28" s="141"/>
      <c r="K28" s="139"/>
      <c r="L28" s="139"/>
      <c r="M28" s="139"/>
      <c r="N28" s="140"/>
      <c r="O28" s="141"/>
      <c r="P28" s="139"/>
      <c r="Q28" s="139"/>
      <c r="R28" s="139"/>
      <c r="S28" s="140"/>
      <c r="T28" s="141"/>
      <c r="U28" s="420"/>
      <c r="V28" s="139"/>
      <c r="W28" s="139"/>
      <c r="X28" s="139"/>
      <c r="Y28" s="142"/>
      <c r="Z28" s="141"/>
      <c r="AA28" s="139"/>
      <c r="AB28" s="139"/>
      <c r="AC28" s="139"/>
      <c r="AD28" s="140"/>
      <c r="AE28" s="141"/>
      <c r="AF28" s="139"/>
      <c r="AG28" s="139"/>
      <c r="AH28" s="425"/>
    </row>
    <row r="29" spans="1:34" ht="18" customHeight="1">
      <c r="A29" s="864" t="s">
        <v>121</v>
      </c>
      <c r="B29" s="428"/>
      <c r="C29" s="314" t="s">
        <v>26</v>
      </c>
      <c r="D29" s="133"/>
      <c r="E29" s="422"/>
      <c r="F29" s="134"/>
      <c r="G29" s="134"/>
      <c r="H29" s="134"/>
      <c r="I29" s="135"/>
      <c r="J29" s="136"/>
      <c r="K29" s="134"/>
      <c r="L29" s="134"/>
      <c r="M29" s="134"/>
      <c r="N29" s="135"/>
      <c r="O29" s="136"/>
      <c r="P29" s="134"/>
      <c r="Q29" s="134"/>
      <c r="R29" s="134"/>
      <c r="S29" s="135"/>
      <c r="T29" s="136"/>
      <c r="U29" s="419"/>
      <c r="V29" s="134"/>
      <c r="W29" s="134"/>
      <c r="X29" s="134"/>
      <c r="Y29" s="137"/>
      <c r="Z29" s="136"/>
      <c r="AA29" s="134"/>
      <c r="AB29" s="134"/>
      <c r="AC29" s="134"/>
      <c r="AD29" s="135"/>
      <c r="AE29" s="136"/>
      <c r="AF29" s="134"/>
      <c r="AG29" s="134"/>
      <c r="AH29" s="423"/>
    </row>
    <row r="30" spans="1:34" ht="18" customHeight="1" thickBot="1">
      <c r="A30" s="865"/>
      <c r="B30" s="429"/>
      <c r="C30" s="323" t="s">
        <v>25</v>
      </c>
      <c r="D30" s="138"/>
      <c r="E30" s="424"/>
      <c r="F30" s="139"/>
      <c r="G30" s="139"/>
      <c r="H30" s="139"/>
      <c r="I30" s="140"/>
      <c r="J30" s="141"/>
      <c r="K30" s="139"/>
      <c r="L30" s="139"/>
      <c r="M30" s="139"/>
      <c r="N30" s="140"/>
      <c r="O30" s="141"/>
      <c r="P30" s="139"/>
      <c r="Q30" s="139"/>
      <c r="R30" s="139"/>
      <c r="S30" s="140"/>
      <c r="T30" s="141"/>
      <c r="U30" s="420"/>
      <c r="V30" s="139"/>
      <c r="W30" s="139"/>
      <c r="X30" s="139"/>
      <c r="Y30" s="142"/>
      <c r="Z30" s="141"/>
      <c r="AA30" s="139"/>
      <c r="AB30" s="139"/>
      <c r="AC30" s="139"/>
      <c r="AD30" s="140"/>
      <c r="AE30" s="141"/>
      <c r="AF30" s="139"/>
      <c r="AG30" s="139"/>
      <c r="AH30" s="425"/>
    </row>
    <row r="31" spans="1:34" ht="18" customHeight="1">
      <c r="A31" s="864" t="s">
        <v>122</v>
      </c>
      <c r="B31" s="428"/>
      <c r="C31" s="314" t="s">
        <v>26</v>
      </c>
      <c r="D31" s="133"/>
      <c r="E31" s="422"/>
      <c r="F31" s="134"/>
      <c r="G31" s="134"/>
      <c r="H31" s="134"/>
      <c r="I31" s="135"/>
      <c r="J31" s="136"/>
      <c r="K31" s="134"/>
      <c r="L31" s="134"/>
      <c r="M31" s="134"/>
      <c r="N31" s="135"/>
      <c r="O31" s="136"/>
      <c r="P31" s="134"/>
      <c r="Q31" s="134"/>
      <c r="R31" s="134"/>
      <c r="S31" s="135"/>
      <c r="T31" s="136"/>
      <c r="U31" s="419"/>
      <c r="V31" s="134"/>
      <c r="W31" s="134"/>
      <c r="X31" s="134"/>
      <c r="Y31" s="137"/>
      <c r="Z31" s="136"/>
      <c r="AA31" s="134"/>
      <c r="AB31" s="134"/>
      <c r="AC31" s="134"/>
      <c r="AD31" s="135"/>
      <c r="AE31" s="136"/>
      <c r="AF31" s="134"/>
      <c r="AG31" s="134"/>
      <c r="AH31" s="423"/>
    </row>
    <row r="32" spans="1:34" ht="18" customHeight="1" thickBot="1">
      <c r="A32" s="865"/>
      <c r="B32" s="429"/>
      <c r="C32" s="430" t="s">
        <v>25</v>
      </c>
      <c r="D32" s="99"/>
      <c r="E32" s="426"/>
      <c r="F32" s="143"/>
      <c r="G32" s="143"/>
      <c r="H32" s="143"/>
      <c r="I32" s="144"/>
      <c r="J32" s="145"/>
      <c r="K32" s="143"/>
      <c r="L32" s="143"/>
      <c r="M32" s="143"/>
      <c r="N32" s="144"/>
      <c r="O32" s="145"/>
      <c r="P32" s="143"/>
      <c r="Q32" s="143"/>
      <c r="R32" s="143"/>
      <c r="S32" s="144"/>
      <c r="T32" s="145"/>
      <c r="U32" s="421"/>
      <c r="V32" s="143"/>
      <c r="W32" s="143"/>
      <c r="X32" s="143"/>
      <c r="Y32" s="146"/>
      <c r="Z32" s="145"/>
      <c r="AA32" s="143"/>
      <c r="AB32" s="143"/>
      <c r="AC32" s="143"/>
      <c r="AD32" s="144"/>
      <c r="AE32" s="145"/>
      <c r="AF32" s="143"/>
      <c r="AG32" s="143"/>
      <c r="AH32" s="427"/>
    </row>
    <row r="33" spans="1:34" ht="16.5" customHeight="1">
      <c r="A33" s="147"/>
      <c r="B33" s="919"/>
      <c r="C33" s="148"/>
      <c r="D33" s="133"/>
      <c r="E33" s="133"/>
      <c r="F33" s="133"/>
      <c r="G33" s="133"/>
      <c r="H33" s="149"/>
      <c r="I33" s="910" t="s">
        <v>129</v>
      </c>
      <c r="J33" s="911"/>
      <c r="K33" s="911"/>
      <c r="L33" s="911"/>
      <c r="M33" s="912"/>
      <c r="N33" s="910" t="s">
        <v>121</v>
      </c>
      <c r="O33" s="911"/>
      <c r="P33" s="911"/>
      <c r="Q33" s="911"/>
      <c r="R33" s="912"/>
      <c r="S33" s="910" t="s">
        <v>122</v>
      </c>
      <c r="T33" s="911"/>
      <c r="U33" s="911"/>
      <c r="V33" s="911"/>
      <c r="W33" s="911"/>
      <c r="X33" s="912"/>
      <c r="Y33" s="910" t="s">
        <v>123</v>
      </c>
      <c r="Z33" s="911"/>
      <c r="AA33" s="911"/>
      <c r="AB33" s="911"/>
      <c r="AC33" s="912"/>
      <c r="AD33" s="910" t="s">
        <v>36</v>
      </c>
      <c r="AE33" s="911"/>
      <c r="AF33" s="911"/>
      <c r="AG33" s="911"/>
      <c r="AH33" s="921"/>
    </row>
    <row r="34" spans="1:34" ht="18" customHeight="1" thickBot="1">
      <c r="A34" s="150"/>
      <c r="B34" s="920"/>
      <c r="C34" s="922" t="s">
        <v>111</v>
      </c>
      <c r="D34" s="923"/>
      <c r="E34" s="923"/>
      <c r="F34" s="923"/>
      <c r="G34" s="923"/>
      <c r="H34" s="924"/>
      <c r="I34" s="915"/>
      <c r="J34" s="913"/>
      <c r="K34" s="151" t="s">
        <v>7</v>
      </c>
      <c r="L34" s="913"/>
      <c r="M34" s="914"/>
      <c r="N34" s="915"/>
      <c r="O34" s="913"/>
      <c r="P34" s="151" t="s">
        <v>7</v>
      </c>
      <c r="Q34" s="913"/>
      <c r="R34" s="914"/>
      <c r="S34" s="915"/>
      <c r="T34" s="913"/>
      <c r="U34" s="27"/>
      <c r="V34" s="151" t="s">
        <v>7</v>
      </c>
      <c r="W34" s="913"/>
      <c r="X34" s="914"/>
      <c r="Y34" s="915"/>
      <c r="Z34" s="913"/>
      <c r="AA34" s="151" t="s">
        <v>7</v>
      </c>
      <c r="AB34" s="913"/>
      <c r="AC34" s="914"/>
      <c r="AD34" s="915"/>
      <c r="AE34" s="913"/>
      <c r="AF34" s="151" t="s">
        <v>7</v>
      </c>
      <c r="AG34" s="913"/>
      <c r="AH34" s="916"/>
    </row>
    <row r="35" spans="1:34" ht="19.5" customHeight="1">
      <c r="A35" s="150"/>
      <c r="B35" s="920"/>
      <c r="C35" s="931" t="s">
        <v>28</v>
      </c>
      <c r="D35" s="932"/>
      <c r="E35" s="932"/>
      <c r="F35" s="932"/>
      <c r="G35" s="932"/>
      <c r="H35" s="932"/>
      <c r="I35" s="927"/>
      <c r="J35" s="927"/>
      <c r="K35" s="927"/>
      <c r="L35" s="927"/>
      <c r="M35" s="927"/>
      <c r="N35" s="927"/>
      <c r="O35" s="927"/>
      <c r="P35" s="927"/>
      <c r="Q35" s="927"/>
      <c r="R35" s="927"/>
      <c r="S35" s="927"/>
      <c r="T35" s="927"/>
      <c r="U35" s="927"/>
      <c r="V35" s="927"/>
      <c r="W35" s="927"/>
      <c r="X35" s="928"/>
      <c r="Y35" s="910" t="s">
        <v>35</v>
      </c>
      <c r="Z35" s="911"/>
      <c r="AA35" s="911"/>
      <c r="AB35" s="911"/>
      <c r="AC35" s="912"/>
      <c r="AD35" s="910" t="s">
        <v>167</v>
      </c>
      <c r="AE35" s="911"/>
      <c r="AF35" s="911"/>
      <c r="AG35" s="911"/>
      <c r="AH35" s="921"/>
    </row>
    <row r="36" spans="1:34" ht="19.5" customHeight="1" thickBot="1">
      <c r="A36" s="152"/>
      <c r="B36" s="920"/>
      <c r="C36" s="933"/>
      <c r="D36" s="934"/>
      <c r="E36" s="934"/>
      <c r="F36" s="934"/>
      <c r="G36" s="934"/>
      <c r="H36" s="934"/>
      <c r="I36" s="929"/>
      <c r="J36" s="929"/>
      <c r="K36" s="929"/>
      <c r="L36" s="929"/>
      <c r="M36" s="929"/>
      <c r="N36" s="929"/>
      <c r="O36" s="929"/>
      <c r="P36" s="929"/>
      <c r="Q36" s="929"/>
      <c r="R36" s="929"/>
      <c r="S36" s="929"/>
      <c r="T36" s="929"/>
      <c r="U36" s="929"/>
      <c r="V36" s="929"/>
      <c r="W36" s="929"/>
      <c r="X36" s="930"/>
      <c r="Y36" s="925"/>
      <c r="Z36" s="918"/>
      <c r="AA36" s="418" t="s">
        <v>7</v>
      </c>
      <c r="AB36" s="918"/>
      <c r="AC36" s="926"/>
      <c r="AD36" s="917"/>
      <c r="AE36" s="918"/>
      <c r="AF36" s="918"/>
      <c r="AG36" s="908" t="s">
        <v>12</v>
      </c>
      <c r="AH36" s="909"/>
    </row>
    <row r="37" spans="1:34" ht="18" customHeight="1" thickBot="1" thickTop="1">
      <c r="A37" s="849" t="s">
        <v>29</v>
      </c>
      <c r="B37" s="850"/>
      <c r="C37" s="850"/>
      <c r="D37" s="850"/>
      <c r="E37" s="850"/>
      <c r="F37" s="850"/>
      <c r="G37" s="850"/>
      <c r="H37" s="850"/>
      <c r="I37" s="850"/>
      <c r="J37" s="850"/>
      <c r="K37" s="850"/>
      <c r="L37" s="850"/>
      <c r="M37" s="850"/>
      <c r="N37" s="850"/>
      <c r="O37" s="850"/>
      <c r="P37" s="850"/>
      <c r="Q37" s="850"/>
      <c r="R37" s="850"/>
      <c r="S37" s="850"/>
      <c r="T37" s="850"/>
      <c r="U37" s="850"/>
      <c r="V37" s="850"/>
      <c r="W37" s="850"/>
      <c r="X37" s="850"/>
      <c r="Y37" s="850"/>
      <c r="Z37" s="850"/>
      <c r="AA37" s="850"/>
      <c r="AB37" s="850"/>
      <c r="AC37" s="850"/>
      <c r="AD37" s="850"/>
      <c r="AE37" s="850"/>
      <c r="AF37" s="850"/>
      <c r="AG37" s="850"/>
      <c r="AH37" s="851"/>
    </row>
    <row r="38" spans="1:34" ht="18" customHeight="1" thickBot="1">
      <c r="A38" s="431" t="s">
        <v>169</v>
      </c>
      <c r="B38" s="432"/>
      <c r="C38" s="432"/>
      <c r="D38" s="433"/>
      <c r="E38" s="432"/>
      <c r="F38" s="432"/>
      <c r="G38" s="434"/>
      <c r="H38" s="569"/>
      <c r="I38" s="569"/>
      <c r="J38" s="569"/>
      <c r="K38" s="569"/>
      <c r="L38" s="569"/>
      <c r="M38" s="569"/>
      <c r="N38" s="569"/>
      <c r="O38" s="569"/>
      <c r="P38" s="569"/>
      <c r="Q38" s="570"/>
      <c r="R38" s="435" t="s">
        <v>170</v>
      </c>
      <c r="S38" s="432"/>
      <c r="T38" s="432"/>
      <c r="U38" s="433"/>
      <c r="V38" s="432"/>
      <c r="W38" s="436"/>
      <c r="X38" s="437"/>
      <c r="Y38" s="571"/>
      <c r="Z38" s="571"/>
      <c r="AA38" s="571"/>
      <c r="AB38" s="571"/>
      <c r="AC38" s="571"/>
      <c r="AD38" s="571"/>
      <c r="AE38" s="571"/>
      <c r="AF38" s="571"/>
      <c r="AG38" s="571"/>
      <c r="AH38" s="572"/>
    </row>
    <row r="39" spans="1:34" ht="18" customHeight="1" thickBot="1">
      <c r="A39" s="431" t="s">
        <v>14</v>
      </c>
      <c r="B39" s="432"/>
      <c r="C39" s="432"/>
      <c r="D39" s="433"/>
      <c r="E39" s="432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70"/>
      <c r="R39" s="438" t="s">
        <v>11</v>
      </c>
      <c r="S39" s="432"/>
      <c r="T39" s="432"/>
      <c r="U39" s="433"/>
      <c r="V39" s="432"/>
      <c r="W39" s="43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73"/>
    </row>
    <row r="40" spans="1:34" ht="18" customHeight="1" thickBot="1">
      <c r="A40" s="440" t="s">
        <v>30</v>
      </c>
      <c r="B40" s="441"/>
      <c r="C40" s="441"/>
      <c r="D40" s="442"/>
      <c r="E40" s="441"/>
      <c r="F40" s="441"/>
      <c r="G40" s="441"/>
      <c r="H40" s="441"/>
      <c r="I40" s="441"/>
      <c r="J40" s="443" t="s">
        <v>31</v>
      </c>
      <c r="K40" s="444"/>
      <c r="L40" s="444"/>
      <c r="M40" s="444"/>
      <c r="N40" s="445"/>
      <c r="O40" s="574"/>
      <c r="P40" s="443" t="s">
        <v>32</v>
      </c>
      <c r="Q40" s="444"/>
      <c r="R40" s="444"/>
      <c r="S40" s="444"/>
      <c r="T40" s="445"/>
      <c r="U40" s="442"/>
      <c r="V40" s="574"/>
      <c r="W40" s="443" t="s">
        <v>33</v>
      </c>
      <c r="X40" s="444"/>
      <c r="Y40" s="444"/>
      <c r="Z40" s="444"/>
      <c r="AA40" s="444"/>
      <c r="AB40" s="445"/>
      <c r="AC40" s="574"/>
      <c r="AD40" s="443" t="s">
        <v>34</v>
      </c>
      <c r="AE40" s="444"/>
      <c r="AF40" s="444"/>
      <c r="AG40" s="445"/>
      <c r="AH40" s="575"/>
    </row>
    <row r="41" spans="1:34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 s="19" t="s">
        <v>168</v>
      </c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</sheetData>
  <sheetProtection sheet="1" selectLockedCells="1"/>
  <mergeCells count="79">
    <mergeCell ref="AB36:AC36"/>
    <mergeCell ref="I35:X36"/>
    <mergeCell ref="C35:H36"/>
    <mergeCell ref="L34:M34"/>
    <mergeCell ref="N34:O34"/>
    <mergeCell ref="Q34:R34"/>
    <mergeCell ref="S34:T34"/>
    <mergeCell ref="B33:B36"/>
    <mergeCell ref="AD33:AH33"/>
    <mergeCell ref="C34:H34"/>
    <mergeCell ref="AD35:AH35"/>
    <mergeCell ref="Y35:AC35"/>
    <mergeCell ref="I33:M33"/>
    <mergeCell ref="N33:R33"/>
    <mergeCell ref="S33:X33"/>
    <mergeCell ref="I34:J34"/>
    <mergeCell ref="Y36:Z36"/>
    <mergeCell ref="V19:AE19"/>
    <mergeCell ref="S26:AH26"/>
    <mergeCell ref="AG36:AH36"/>
    <mergeCell ref="Y33:AC33"/>
    <mergeCell ref="W34:X34"/>
    <mergeCell ref="Y34:Z34"/>
    <mergeCell ref="AB34:AC34"/>
    <mergeCell ref="AD34:AE34"/>
    <mergeCell ref="AG34:AH34"/>
    <mergeCell ref="AD36:AF36"/>
    <mergeCell ref="V20:AE20"/>
    <mergeCell ref="V21:AE21"/>
    <mergeCell ref="V14:AE14"/>
    <mergeCell ref="F7:Q7"/>
    <mergeCell ref="F9:Q9"/>
    <mergeCell ref="W9:X9"/>
    <mergeCell ref="W8:X8"/>
    <mergeCell ref="A10:N10"/>
    <mergeCell ref="R10:AE10"/>
    <mergeCell ref="R11:AE11"/>
    <mergeCell ref="V16:AE16"/>
    <mergeCell ref="V17:AE17"/>
    <mergeCell ref="V18:AE18"/>
    <mergeCell ref="F6:Q6"/>
    <mergeCell ref="V15:AE15"/>
    <mergeCell ref="AD8:AE8"/>
    <mergeCell ref="W7:Z7"/>
    <mergeCell ref="E14:N14"/>
    <mergeCell ref="A27:A28"/>
    <mergeCell ref="E20:N20"/>
    <mergeCell ref="E21:N21"/>
    <mergeCell ref="E22:N22"/>
    <mergeCell ref="E19:N19"/>
    <mergeCell ref="E16:N16"/>
    <mergeCell ref="E17:N17"/>
    <mergeCell ref="AP3:AP4"/>
    <mergeCell ref="F5:Q5"/>
    <mergeCell ref="AL3:AL4"/>
    <mergeCell ref="AM3:AM4"/>
    <mergeCell ref="AN3:AN4"/>
    <mergeCell ref="AO3:AO4"/>
    <mergeCell ref="W5:AC5"/>
    <mergeCell ref="A1:AC1"/>
    <mergeCell ref="A2:AC2"/>
    <mergeCell ref="G3:AC3"/>
    <mergeCell ref="G4:L4"/>
    <mergeCell ref="L26:N26"/>
    <mergeCell ref="E18:N18"/>
    <mergeCell ref="A11:N11"/>
    <mergeCell ref="W6:AA6"/>
    <mergeCell ref="E15:N15"/>
    <mergeCell ref="F8:Q8"/>
    <mergeCell ref="A37:AH37"/>
    <mergeCell ref="V22:AE22"/>
    <mergeCell ref="V23:AE23"/>
    <mergeCell ref="V24:AE24"/>
    <mergeCell ref="V25:AE25"/>
    <mergeCell ref="E25:N25"/>
    <mergeCell ref="E24:N24"/>
    <mergeCell ref="A29:A30"/>
    <mergeCell ref="A31:A32"/>
    <mergeCell ref="E23:N23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P33"/>
  <sheetViews>
    <sheetView zoomScalePageLayoutView="0" workbookViewId="0" topLeftCell="A4">
      <selection activeCell="AF13" sqref="AF13:AH15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5.7109375" style="0" customWidth="1"/>
    <col min="27" max="27" width="1.7109375" style="0" customWidth="1"/>
    <col min="28" max="29" width="5.7109375" style="0" customWidth="1"/>
    <col min="30" max="30" width="0.85546875" style="0" customWidth="1"/>
    <col min="31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8" width="8.7109375" style="11" hidden="1" customWidth="1"/>
    <col min="39" max="39" width="11.7109375" style="526" hidden="1" customWidth="1"/>
    <col min="40" max="40" width="8.7109375" style="11" hidden="1" customWidth="1"/>
    <col min="41" max="41" width="16.57421875" style="526" hidden="1" customWidth="1"/>
    <col min="42" max="42" width="9.140625" style="0" customWidth="1"/>
  </cols>
  <sheetData>
    <row r="1" spans="2:41" ht="30" customHeight="1">
      <c r="B1" s="709" t="s">
        <v>235</v>
      </c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32"/>
      <c r="AG1" s="32"/>
      <c r="AH1" s="32"/>
      <c r="AI1" s="32"/>
      <c r="AJ1" s="32"/>
      <c r="AK1" s="32"/>
      <c r="AL1" s="69"/>
      <c r="AM1" s="525"/>
      <c r="AN1" s="69"/>
      <c r="AO1" s="525"/>
    </row>
    <row r="2" ht="8.25" customHeight="1"/>
    <row r="3" spans="2:41" ht="28.5" customHeight="1">
      <c r="B3" s="944" t="str">
        <f>IF(Mannschaften!D2="","",Mannschaften!D2)</f>
        <v>Ostdeutsche Meisterschaft der männl. Jugend 14 Halle 13/14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41"/>
      <c r="AG3" s="41"/>
      <c r="AH3" s="41"/>
      <c r="AI3" s="41"/>
      <c r="AJ3" s="41"/>
      <c r="AK3" s="41"/>
      <c r="AL3" s="70"/>
      <c r="AM3" s="527"/>
      <c r="AN3" s="70"/>
      <c r="AO3" s="527"/>
    </row>
    <row r="4" spans="2:42" ht="18.75" customHeight="1">
      <c r="B4" s="28"/>
      <c r="C4" s="28"/>
      <c r="E4" s="964" t="str">
        <f>IF(Mannschaften!F4="","",Mannschaften!F4)</f>
        <v>Berlin</v>
      </c>
      <c r="F4" s="964"/>
      <c r="G4" s="964"/>
      <c r="H4" s="964"/>
      <c r="I4" s="964"/>
      <c r="J4" s="964"/>
      <c r="K4" s="964"/>
      <c r="L4" s="514"/>
      <c r="M4" s="514"/>
      <c r="O4" s="28"/>
      <c r="P4" s="28"/>
      <c r="Q4" s="965">
        <f>Mannschaften!K4</f>
        <v>41692</v>
      </c>
      <c r="R4" s="965"/>
      <c r="S4" s="965"/>
      <c r="T4" s="965"/>
      <c r="U4" s="965"/>
      <c r="V4" s="965"/>
      <c r="W4" s="514" t="s">
        <v>92</v>
      </c>
      <c r="X4" s="965">
        <f>Mannschaften!M4</f>
        <v>41693</v>
      </c>
      <c r="Y4" s="965"/>
      <c r="Z4" s="965"/>
      <c r="AA4" s="965"/>
      <c r="AB4" s="965"/>
      <c r="AC4" s="43"/>
      <c r="AD4" s="43"/>
      <c r="AE4" s="43"/>
      <c r="AF4" s="43"/>
      <c r="AG4" s="43"/>
      <c r="AH4" s="43"/>
      <c r="AI4" s="43"/>
      <c r="AJ4" s="43"/>
      <c r="AK4" s="43"/>
      <c r="AL4" s="71"/>
      <c r="AM4" s="528"/>
      <c r="AN4" s="71"/>
      <c r="AO4" s="528"/>
      <c r="AP4" s="28"/>
    </row>
    <row r="5" spans="1:42" ht="23.25" customHeight="1">
      <c r="A5" s="983" t="str">
        <f>Mannschaften!A5</f>
        <v>Ausrichter:     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37"/>
      <c r="R5" s="37"/>
      <c r="S5" s="37"/>
      <c r="T5" s="986" t="str">
        <f>IF(Mannschaften!I5="","",Mannschaften!I5)</f>
        <v>Berliner Turnerschaft</v>
      </c>
      <c r="U5" s="986"/>
      <c r="V5" s="986"/>
      <c r="W5" s="986"/>
      <c r="X5" s="986"/>
      <c r="Y5" s="986"/>
      <c r="Z5" s="986"/>
      <c r="AA5" s="986"/>
      <c r="AB5" s="986"/>
      <c r="AC5" s="986"/>
      <c r="AD5" s="986"/>
      <c r="AE5" s="986"/>
      <c r="AF5" s="986"/>
      <c r="AG5" s="986"/>
      <c r="AH5" s="986"/>
      <c r="AI5" s="986"/>
      <c r="AJ5" s="986"/>
      <c r="AK5" s="986"/>
      <c r="AL5" s="986"/>
      <c r="AM5" s="986"/>
      <c r="AN5" s="986"/>
      <c r="AO5" s="986"/>
      <c r="AP5" s="986"/>
    </row>
    <row r="6" spans="8:25" ht="25.5" customHeight="1" thickBot="1">
      <c r="H6" s="984"/>
      <c r="I6" s="984"/>
      <c r="J6" s="984"/>
      <c r="K6" s="984"/>
      <c r="L6" s="984"/>
      <c r="M6" s="984"/>
      <c r="N6" s="984" t="str">
        <f>Mannschaften!H3</f>
        <v>M U14</v>
      </c>
      <c r="O6" s="984"/>
      <c r="P6" s="984"/>
      <c r="Q6" s="984"/>
      <c r="R6" s="984"/>
      <c r="S6" s="984"/>
      <c r="T6" s="984" t="s">
        <v>5</v>
      </c>
      <c r="U6" s="984"/>
      <c r="V6" s="984"/>
      <c r="W6" s="984"/>
      <c r="X6" s="984"/>
      <c r="Y6" s="984"/>
    </row>
    <row r="7" spans="1:41" ht="16.5" customHeight="1" thickTop="1">
      <c r="A7" s="6" t="s">
        <v>27</v>
      </c>
      <c r="B7" s="958" t="str">
        <f>'Spielplan-Sa'!F10</f>
        <v>VfL Kellinghusen</v>
      </c>
      <c r="C7" s="959"/>
      <c r="D7" s="959"/>
      <c r="E7" s="959"/>
      <c r="F7" s="959"/>
      <c r="G7" s="960"/>
      <c r="H7" s="958" t="str">
        <f>'Spielplan-Sa'!F11</f>
        <v>Großenasper SV</v>
      </c>
      <c r="I7" s="959"/>
      <c r="J7" s="959"/>
      <c r="K7" s="959"/>
      <c r="L7" s="959"/>
      <c r="M7" s="960"/>
      <c r="N7" s="987" t="str">
        <f>'Spielplan-Sa'!F12</f>
        <v>SG Bademeusel</v>
      </c>
      <c r="O7" s="988"/>
      <c r="P7" s="988"/>
      <c r="Q7" s="988"/>
      <c r="R7" s="988"/>
      <c r="S7" s="989"/>
      <c r="T7" s="958" t="str">
        <f>'Spielplan-Sa'!F13</f>
        <v>Berliner Turnerschaft</v>
      </c>
      <c r="U7" s="959"/>
      <c r="V7" s="959"/>
      <c r="W7" s="959"/>
      <c r="X7" s="959"/>
      <c r="Y7" s="960"/>
      <c r="Z7" s="966" t="s">
        <v>36</v>
      </c>
      <c r="AA7" s="967"/>
      <c r="AB7" s="968"/>
      <c r="AC7" s="49"/>
      <c r="AD7" s="50"/>
      <c r="AE7" s="44"/>
      <c r="AF7" s="993" t="s">
        <v>37</v>
      </c>
      <c r="AG7" s="994"/>
      <c r="AH7" s="995"/>
      <c r="AL7" s="72"/>
      <c r="AM7" s="529"/>
      <c r="AN7" s="72"/>
      <c r="AO7" s="529"/>
    </row>
    <row r="8" spans="1:41" ht="16.5" customHeight="1">
      <c r="A8" s="40"/>
      <c r="B8" s="961"/>
      <c r="C8" s="962"/>
      <c r="D8" s="962"/>
      <c r="E8" s="962"/>
      <c r="F8" s="962"/>
      <c r="G8" s="963"/>
      <c r="H8" s="961"/>
      <c r="I8" s="962"/>
      <c r="J8" s="962"/>
      <c r="K8" s="962"/>
      <c r="L8" s="962"/>
      <c r="M8" s="963"/>
      <c r="N8" s="990"/>
      <c r="O8" s="991"/>
      <c r="P8" s="991"/>
      <c r="Q8" s="991"/>
      <c r="R8" s="991"/>
      <c r="S8" s="992"/>
      <c r="T8" s="961"/>
      <c r="U8" s="962"/>
      <c r="V8" s="962"/>
      <c r="W8" s="962"/>
      <c r="X8" s="962"/>
      <c r="Y8" s="963"/>
      <c r="Z8" s="969" t="s">
        <v>123</v>
      </c>
      <c r="AA8" s="970"/>
      <c r="AB8" s="971"/>
      <c r="AC8" s="51"/>
      <c r="AD8" s="4"/>
      <c r="AE8" s="52"/>
      <c r="AF8" s="996"/>
      <c r="AG8" s="997"/>
      <c r="AH8" s="998"/>
      <c r="AL8" s="73" t="s">
        <v>142</v>
      </c>
      <c r="AM8" s="530" t="s">
        <v>119</v>
      </c>
      <c r="AN8" s="73" t="s">
        <v>119</v>
      </c>
      <c r="AO8" s="530" t="s">
        <v>37</v>
      </c>
    </row>
    <row r="9" spans="1:41" ht="16.5" customHeight="1" thickBot="1">
      <c r="A9" s="40"/>
      <c r="B9" s="961"/>
      <c r="C9" s="962"/>
      <c r="D9" s="962"/>
      <c r="E9" s="962"/>
      <c r="F9" s="962"/>
      <c r="G9" s="963"/>
      <c r="H9" s="961"/>
      <c r="I9" s="962"/>
      <c r="J9" s="962"/>
      <c r="K9" s="962"/>
      <c r="L9" s="962"/>
      <c r="M9" s="963"/>
      <c r="N9" s="990"/>
      <c r="O9" s="991"/>
      <c r="P9" s="991"/>
      <c r="Q9" s="991"/>
      <c r="R9" s="991"/>
      <c r="S9" s="992"/>
      <c r="T9" s="961"/>
      <c r="U9" s="962"/>
      <c r="V9" s="962"/>
      <c r="W9" s="962"/>
      <c r="X9" s="962"/>
      <c r="Y9" s="963"/>
      <c r="AC9" s="972" t="s">
        <v>35</v>
      </c>
      <c r="AD9" s="973"/>
      <c r="AE9" s="974"/>
      <c r="AF9" s="999"/>
      <c r="AG9" s="1000"/>
      <c r="AH9" s="1001"/>
      <c r="AL9" s="73" t="s">
        <v>143</v>
      </c>
      <c r="AM9" s="530" t="s">
        <v>144</v>
      </c>
      <c r="AN9" s="73" t="s">
        <v>143</v>
      </c>
      <c r="AO9" s="530" t="s">
        <v>145</v>
      </c>
    </row>
    <row r="10" spans="1:41" ht="16.5" customHeight="1" thickTop="1">
      <c r="A10" s="945" t="str">
        <f>B7</f>
        <v>VfL Kellinghusen</v>
      </c>
      <c r="B10" s="985" t="s">
        <v>129</v>
      </c>
      <c r="C10" s="980"/>
      <c r="D10" s="980"/>
      <c r="E10" s="980" t="s">
        <v>36</v>
      </c>
      <c r="F10" s="980"/>
      <c r="G10" s="981"/>
      <c r="H10" s="74">
        <f>'Spielplan-Sa'!K20</f>
        <v>11</v>
      </c>
      <c r="I10" s="75" t="s">
        <v>7</v>
      </c>
      <c r="J10" s="76">
        <f>'Spielplan-Sa'!M20</f>
        <v>5</v>
      </c>
      <c r="K10" s="77">
        <f>'Spielplan-Sa'!AF20</f>
        <v>22</v>
      </c>
      <c r="L10" s="75" t="s">
        <v>7</v>
      </c>
      <c r="M10" s="78">
        <f>'Spielplan-Sa'!AH20</f>
        <v>8</v>
      </c>
      <c r="N10" s="79">
        <f>'Spielplan-Sa'!K27</f>
        <v>11</v>
      </c>
      <c r="O10" s="75" t="s">
        <v>7</v>
      </c>
      <c r="P10" s="76">
        <f>'Spielplan-Sa'!M27</f>
        <v>5</v>
      </c>
      <c r="Q10" s="77">
        <f>'Spielplan-Sa'!AF27</f>
        <v>22</v>
      </c>
      <c r="R10" s="75" t="s">
        <v>7</v>
      </c>
      <c r="S10" s="78">
        <f>'Spielplan-Sa'!AH27</f>
        <v>14</v>
      </c>
      <c r="T10" s="79">
        <f>'Spielplan-Sa'!K25</f>
        <v>11</v>
      </c>
      <c r="U10" s="75" t="s">
        <v>7</v>
      </c>
      <c r="V10" s="76">
        <f>'Spielplan-Sa'!M25</f>
        <v>4</v>
      </c>
      <c r="W10" s="77">
        <f>'Spielplan-Sa'!AF25</f>
        <v>25</v>
      </c>
      <c r="X10" s="75" t="s">
        <v>7</v>
      </c>
      <c r="Y10" s="78">
        <f>'Spielplan-Sa'!AH25</f>
        <v>16</v>
      </c>
      <c r="Z10" s="59">
        <f>IF(K10="",0,+K10+IF(Q10="",0,+Q10+IF(W10="",0,+W10)))</f>
        <v>69</v>
      </c>
      <c r="AA10" s="60" t="s">
        <v>7</v>
      </c>
      <c r="AB10" s="61">
        <f>IF(M10="",0,+M10+IF(S10="",0,+S10+IF(Y10="",0,+Y10)))</f>
        <v>38</v>
      </c>
      <c r="AC10" s="53"/>
      <c r="AD10" s="54"/>
      <c r="AE10" s="45"/>
      <c r="AF10" s="935">
        <f>IF('Spielplan-Sa'!AL$27+'Spielplan-Sa'!AN$27=0,"",IF(AO11="","",RANK(AO11,AO$11:AO$21,0)))</f>
        <v>1</v>
      </c>
      <c r="AG10" s="936"/>
      <c r="AH10" s="937"/>
      <c r="AL10" s="45">
        <f>Z10-AB10</f>
        <v>31</v>
      </c>
      <c r="AM10" s="531"/>
      <c r="AN10" s="45"/>
      <c r="AO10" s="531"/>
    </row>
    <row r="11" spans="1:41" ht="16.5" customHeight="1">
      <c r="A11" s="946"/>
      <c r="B11" s="977" t="s">
        <v>121</v>
      </c>
      <c r="C11" s="978"/>
      <c r="D11" s="978"/>
      <c r="E11" s="978" t="s">
        <v>123</v>
      </c>
      <c r="F11" s="978"/>
      <c r="G11" s="982"/>
      <c r="H11" s="80">
        <f>'Spielplan-Sa'!N20</f>
        <v>11</v>
      </c>
      <c r="I11" s="81" t="s">
        <v>7</v>
      </c>
      <c r="J11" s="82">
        <f>'Spielplan-Sa'!P20</f>
        <v>3</v>
      </c>
      <c r="K11" s="83">
        <f>'Spielplan-Sa'!AI20</f>
        <v>2</v>
      </c>
      <c r="L11" s="81" t="s">
        <v>7</v>
      </c>
      <c r="M11" s="84">
        <f>'Spielplan-Sa'!AK20</f>
        <v>0</v>
      </c>
      <c r="N11" s="80">
        <f>'Spielplan-Sa'!N27</f>
        <v>11</v>
      </c>
      <c r="O11" s="81" t="s">
        <v>7</v>
      </c>
      <c r="P11" s="82">
        <f>'Spielplan-Sa'!P27</f>
        <v>9</v>
      </c>
      <c r="Q11" s="83">
        <f>'Spielplan-Sa'!AI27</f>
        <v>2</v>
      </c>
      <c r="R11" s="81" t="s">
        <v>7</v>
      </c>
      <c r="S11" s="84">
        <f>'Spielplan-Sa'!AK27</f>
        <v>0</v>
      </c>
      <c r="T11" s="80">
        <f>'Spielplan-Sa'!N25</f>
        <v>14</v>
      </c>
      <c r="U11" s="81" t="s">
        <v>7</v>
      </c>
      <c r="V11" s="82">
        <f>'Spielplan-Sa'!P25</f>
        <v>12</v>
      </c>
      <c r="W11" s="83">
        <f>'Spielplan-Sa'!AI25</f>
        <v>2</v>
      </c>
      <c r="X11" s="81" t="s">
        <v>7</v>
      </c>
      <c r="Y11" s="84">
        <f>'Spielplan-Sa'!AK25</f>
        <v>0</v>
      </c>
      <c r="Z11" s="62">
        <f>IF(K11="",0,+K11+IF(Q11="",0,+Q11+IF(W11="",0,+W11)))</f>
        <v>6</v>
      </c>
      <c r="AA11" s="63" t="s">
        <v>7</v>
      </c>
      <c r="AB11" s="64">
        <f>IF(M11="",0,+M11+IF(S11="",0,+S11+IF(Y11="",0,+Y11)))</f>
        <v>0</v>
      </c>
      <c r="AC11" s="51"/>
      <c r="AD11" s="4"/>
      <c r="AE11" s="52"/>
      <c r="AF11" s="938"/>
      <c r="AG11" s="939"/>
      <c r="AH11" s="940"/>
      <c r="AL11" s="46"/>
      <c r="AM11" s="532">
        <f>IF(Z11&gt;AB11,IF(AB11=0,9000,Z11/AB11*1000),IF(Z11=0,-9000,AB11/Z11*-1000))</f>
        <v>9000</v>
      </c>
      <c r="AN11" s="46">
        <f>(Z11-AB11)*10000</f>
        <v>60000</v>
      </c>
      <c r="AO11" s="532">
        <f>AC12*100000+AN11+AM11+AL10</f>
        <v>669031</v>
      </c>
    </row>
    <row r="12" spans="1:41" ht="16.5" customHeight="1" thickBot="1">
      <c r="A12" s="947"/>
      <c r="B12" s="975" t="s">
        <v>122</v>
      </c>
      <c r="C12" s="976"/>
      <c r="D12" s="976"/>
      <c r="E12" s="976" t="s">
        <v>35</v>
      </c>
      <c r="F12" s="976"/>
      <c r="G12" s="979"/>
      <c r="H12" s="85">
        <f>'Spielplan-Sa'!Q20</f>
        <v>0</v>
      </c>
      <c r="I12" s="86" t="s">
        <v>7</v>
      </c>
      <c r="J12" s="87">
        <f>'Spielplan-Sa'!S20</f>
        <v>0</v>
      </c>
      <c r="K12" s="88">
        <f>'Spielplan-Sa'!AL20</f>
        <v>2</v>
      </c>
      <c r="L12" s="86" t="s">
        <v>7</v>
      </c>
      <c r="M12" s="89">
        <f>'Spielplan-Sa'!AN20</f>
        <v>0</v>
      </c>
      <c r="N12" s="85">
        <f>'Spielplan-Sa'!Q27</f>
        <v>0</v>
      </c>
      <c r="O12" s="86" t="s">
        <v>7</v>
      </c>
      <c r="P12" s="87">
        <f>'Spielplan-Sa'!S27</f>
        <v>0</v>
      </c>
      <c r="Q12" s="88">
        <f>'Spielplan-Sa'!AL27</f>
        <v>2</v>
      </c>
      <c r="R12" s="86" t="s">
        <v>7</v>
      </c>
      <c r="S12" s="89">
        <f>'Spielplan-Sa'!AN27</f>
        <v>0</v>
      </c>
      <c r="T12" s="85">
        <f>'Spielplan-Sa'!Q25</f>
        <v>0</v>
      </c>
      <c r="U12" s="86" t="s">
        <v>7</v>
      </c>
      <c r="V12" s="87">
        <f>'Spielplan-Sa'!S25</f>
        <v>0</v>
      </c>
      <c r="W12" s="88">
        <f>'Spielplan-Sa'!AL25</f>
        <v>2</v>
      </c>
      <c r="X12" s="86" t="s">
        <v>7</v>
      </c>
      <c r="Y12" s="89">
        <f>'Spielplan-Sa'!AN25</f>
        <v>0</v>
      </c>
      <c r="Z12" s="65"/>
      <c r="AA12" s="65"/>
      <c r="AB12" s="65"/>
      <c r="AC12" s="93">
        <f>K12+Q12+W12</f>
        <v>6</v>
      </c>
      <c r="AD12" s="42" t="s">
        <v>7</v>
      </c>
      <c r="AE12" s="94">
        <f>M12+S12+Y12</f>
        <v>0</v>
      </c>
      <c r="AF12" s="941"/>
      <c r="AG12" s="942"/>
      <c r="AH12" s="943"/>
      <c r="AL12" s="47"/>
      <c r="AM12" s="533"/>
      <c r="AN12" s="47"/>
      <c r="AO12" s="533"/>
    </row>
    <row r="13" spans="1:41" ht="16.5" customHeight="1" thickTop="1">
      <c r="A13" s="945" t="str">
        <f>H7</f>
        <v>Großenasper SV</v>
      </c>
      <c r="B13" s="79">
        <f>J10</f>
        <v>5</v>
      </c>
      <c r="C13" s="75" t="s">
        <v>7</v>
      </c>
      <c r="D13" s="90">
        <f>H10</f>
        <v>11</v>
      </c>
      <c r="E13" s="77">
        <f>M10</f>
        <v>8</v>
      </c>
      <c r="F13" s="75" t="s">
        <v>7</v>
      </c>
      <c r="G13" s="78">
        <f>K10</f>
        <v>22</v>
      </c>
      <c r="H13" s="948"/>
      <c r="I13" s="949"/>
      <c r="J13" s="949"/>
      <c r="K13" s="949"/>
      <c r="L13" s="949"/>
      <c r="M13" s="950"/>
      <c r="N13" s="79">
        <f>'Spielplan-Sa'!K23</f>
        <v>8</v>
      </c>
      <c r="O13" s="75" t="s">
        <v>7</v>
      </c>
      <c r="P13" s="76">
        <f>'Spielplan-Sa'!M23</f>
        <v>11</v>
      </c>
      <c r="Q13" s="77">
        <f>'Spielplan-Sa'!AF23</f>
        <v>19</v>
      </c>
      <c r="R13" s="75" t="s">
        <v>7</v>
      </c>
      <c r="S13" s="78">
        <f>'Spielplan-Sa'!AH23</f>
        <v>24</v>
      </c>
      <c r="T13" s="79">
        <f>'Spielplan-Sa'!K26</f>
        <v>10</v>
      </c>
      <c r="U13" s="75" t="s">
        <v>7</v>
      </c>
      <c r="V13" s="76">
        <f>'Spielplan-Sa'!M26</f>
        <v>12</v>
      </c>
      <c r="W13" s="77">
        <f>'Spielplan-Sa'!AF26</f>
        <v>15</v>
      </c>
      <c r="X13" s="75" t="s">
        <v>7</v>
      </c>
      <c r="Y13" s="78">
        <f>'Spielplan-Sa'!AH26</f>
        <v>23</v>
      </c>
      <c r="Z13" s="59">
        <f>IF(E13="",0,+E13+IF(Q13="",0,+Q13+IF(W13="",0,+W13)))</f>
        <v>42</v>
      </c>
      <c r="AA13" s="66" t="s">
        <v>7</v>
      </c>
      <c r="AB13" s="61">
        <f>IF(G13="",0,+G13+IF(S13="",0,+S13+IF(Y13="",0,+Y13)))</f>
        <v>69</v>
      </c>
      <c r="AC13" s="53"/>
      <c r="AD13" s="54"/>
      <c r="AE13" s="45"/>
      <c r="AF13" s="935">
        <f>IF('Spielplan-Sa'!AL$27+'Spielplan-Sa'!AN$27=0,"",IF(AO14="","",RANK(AO14,AO$11:AO$21,0)))</f>
        <v>4</v>
      </c>
      <c r="AG13" s="936"/>
      <c r="AH13" s="937"/>
      <c r="AL13" s="45">
        <f>Z13-AB13</f>
        <v>-27</v>
      </c>
      <c r="AM13" s="531"/>
      <c r="AN13" s="45"/>
      <c r="AO13" s="531"/>
    </row>
    <row r="14" spans="1:41" ht="16.5" customHeight="1">
      <c r="A14" s="946"/>
      <c r="B14" s="80">
        <f>J11</f>
        <v>3</v>
      </c>
      <c r="C14" s="81" t="s">
        <v>7</v>
      </c>
      <c r="D14" s="91">
        <f>H11</f>
        <v>11</v>
      </c>
      <c r="E14" s="83">
        <f>M11</f>
        <v>0</v>
      </c>
      <c r="F14" s="81" t="s">
        <v>7</v>
      </c>
      <c r="G14" s="84">
        <f>K11</f>
        <v>2</v>
      </c>
      <c r="H14" s="951"/>
      <c r="I14" s="952"/>
      <c r="J14" s="952"/>
      <c r="K14" s="952"/>
      <c r="L14" s="952"/>
      <c r="M14" s="953"/>
      <c r="N14" s="80">
        <f>'Spielplan-Sa'!N23</f>
        <v>11</v>
      </c>
      <c r="O14" s="81" t="s">
        <v>7</v>
      </c>
      <c r="P14" s="82">
        <f>'Spielplan-Sa'!P23</f>
        <v>13</v>
      </c>
      <c r="Q14" s="83">
        <f>'Spielplan-Sa'!AI23</f>
        <v>0</v>
      </c>
      <c r="R14" s="81" t="s">
        <v>7</v>
      </c>
      <c r="S14" s="84">
        <f>'Spielplan-Sa'!AK23</f>
        <v>2</v>
      </c>
      <c r="T14" s="80">
        <f>'Spielplan-Sa'!N26</f>
        <v>5</v>
      </c>
      <c r="U14" s="81" t="s">
        <v>7</v>
      </c>
      <c r="V14" s="82">
        <f>'Spielplan-Sa'!P26</f>
        <v>11</v>
      </c>
      <c r="W14" s="83">
        <f>'Spielplan-Sa'!AI26</f>
        <v>0</v>
      </c>
      <c r="X14" s="81" t="s">
        <v>7</v>
      </c>
      <c r="Y14" s="84">
        <f>'Spielplan-Sa'!AK26</f>
        <v>2</v>
      </c>
      <c r="Z14" s="62">
        <f>IF(E14="",0,+E14+IF(Q14="",0,+Q14+IF(W14="",0,+W14)))</f>
        <v>0</v>
      </c>
      <c r="AA14" s="67" t="s">
        <v>7</v>
      </c>
      <c r="AB14" s="64">
        <f>IF(G14="",0,+G14+IF(S14="",0,+S14+IF(Y14="",0,+Y14)))</f>
        <v>6</v>
      </c>
      <c r="AC14" s="51"/>
      <c r="AD14" s="4"/>
      <c r="AE14" s="52"/>
      <c r="AF14" s="938"/>
      <c r="AG14" s="939"/>
      <c r="AH14" s="940"/>
      <c r="AL14" s="46"/>
      <c r="AM14" s="532">
        <f>IF(Z14&gt;AB14,IF(AB14=0,9000,Z14/AB14*1000),IF(Z14=0,-9000,AB14/Z14*-1000))</f>
        <v>-9000</v>
      </c>
      <c r="AN14" s="46">
        <f>(Z14-AB14)*10000</f>
        <v>-60000</v>
      </c>
      <c r="AO14" s="532">
        <f>AC15*100000+AN14+AM14+AL13</f>
        <v>-69027</v>
      </c>
    </row>
    <row r="15" spans="1:41" ht="16.5" customHeight="1" thickBot="1">
      <c r="A15" s="947"/>
      <c r="B15" s="85">
        <f>J12</f>
        <v>0</v>
      </c>
      <c r="C15" s="86" t="s">
        <v>7</v>
      </c>
      <c r="D15" s="92">
        <f>H12</f>
        <v>0</v>
      </c>
      <c r="E15" s="88">
        <f>M12</f>
        <v>0</v>
      </c>
      <c r="F15" s="86" t="s">
        <v>7</v>
      </c>
      <c r="G15" s="89">
        <f>K12</f>
        <v>2</v>
      </c>
      <c r="H15" s="954"/>
      <c r="I15" s="955"/>
      <c r="J15" s="955"/>
      <c r="K15" s="955"/>
      <c r="L15" s="955"/>
      <c r="M15" s="956"/>
      <c r="N15" s="85">
        <f>'Spielplan-Sa'!Q23</f>
        <v>0</v>
      </c>
      <c r="O15" s="86" t="s">
        <v>7</v>
      </c>
      <c r="P15" s="87">
        <f>'Spielplan-Sa'!S23</f>
        <v>0</v>
      </c>
      <c r="Q15" s="88">
        <f>'Spielplan-Sa'!AL23</f>
        <v>0</v>
      </c>
      <c r="R15" s="86" t="s">
        <v>7</v>
      </c>
      <c r="S15" s="89">
        <f>'Spielplan-Sa'!AN23</f>
        <v>2</v>
      </c>
      <c r="T15" s="85">
        <f>'Spielplan-Sa'!Q26</f>
        <v>0</v>
      </c>
      <c r="U15" s="86" t="s">
        <v>7</v>
      </c>
      <c r="V15" s="87">
        <f>'Spielplan-Sa'!S26</f>
        <v>0</v>
      </c>
      <c r="W15" s="88">
        <f>'Spielplan-Sa'!AL26</f>
        <v>0</v>
      </c>
      <c r="X15" s="86" t="s">
        <v>7</v>
      </c>
      <c r="Y15" s="89">
        <f>'Spielplan-Sa'!AN26</f>
        <v>2</v>
      </c>
      <c r="Z15" s="65"/>
      <c r="AA15" s="65"/>
      <c r="AB15" s="65"/>
      <c r="AC15" s="93">
        <f>E15+Q15+W15</f>
        <v>0</v>
      </c>
      <c r="AD15" s="42" t="s">
        <v>7</v>
      </c>
      <c r="AE15" s="94">
        <f>G15+S15+Y15</f>
        <v>6</v>
      </c>
      <c r="AF15" s="941"/>
      <c r="AG15" s="942"/>
      <c r="AH15" s="943"/>
      <c r="AL15" s="48"/>
      <c r="AM15" s="534"/>
      <c r="AN15" s="48"/>
      <c r="AO15" s="534"/>
    </row>
    <row r="16" spans="1:41" ht="16.5" customHeight="1" thickTop="1">
      <c r="A16" s="945" t="str">
        <f>N7</f>
        <v>SG Bademeusel</v>
      </c>
      <c r="B16" s="79">
        <f>P10</f>
        <v>5</v>
      </c>
      <c r="C16" s="75" t="s">
        <v>7</v>
      </c>
      <c r="D16" s="76">
        <f>N10</f>
        <v>11</v>
      </c>
      <c r="E16" s="77">
        <f>S10</f>
        <v>14</v>
      </c>
      <c r="F16" s="75" t="s">
        <v>7</v>
      </c>
      <c r="G16" s="78">
        <f>Q10</f>
        <v>22</v>
      </c>
      <c r="H16" s="79">
        <f>P13</f>
        <v>11</v>
      </c>
      <c r="I16" s="75" t="s">
        <v>7</v>
      </c>
      <c r="J16" s="76">
        <f>N13</f>
        <v>8</v>
      </c>
      <c r="K16" s="77">
        <f>S13</f>
        <v>24</v>
      </c>
      <c r="L16" s="75" t="s">
        <v>7</v>
      </c>
      <c r="M16" s="78">
        <f>Q13</f>
        <v>19</v>
      </c>
      <c r="N16" s="948"/>
      <c r="O16" s="949"/>
      <c r="P16" s="949"/>
      <c r="Q16" s="949"/>
      <c r="R16" s="949"/>
      <c r="S16" s="950"/>
      <c r="T16" s="79">
        <f>'Spielplan-Sa'!K21</f>
        <v>1</v>
      </c>
      <c r="U16" s="75" t="s">
        <v>7</v>
      </c>
      <c r="V16" s="76">
        <f>'Spielplan-Sa'!M21</f>
        <v>11</v>
      </c>
      <c r="W16" s="77">
        <f>'Spielplan-Sa'!AF21</f>
        <v>10</v>
      </c>
      <c r="X16" s="75" t="s">
        <v>7</v>
      </c>
      <c r="Y16" s="78">
        <f>'Spielplan-Sa'!AH21</f>
        <v>22</v>
      </c>
      <c r="Z16" s="59">
        <f>IF(E16="",0,+E16+IF(K16="",0,+K16+IF(W16="",0,+W16)))</f>
        <v>48</v>
      </c>
      <c r="AA16" s="66" t="s">
        <v>7</v>
      </c>
      <c r="AB16" s="61">
        <f>IF(G16="",0,+G16+IF(M16="",0,+M16+IF(Y16="",0,+Y16)))</f>
        <v>63</v>
      </c>
      <c r="AC16" s="53"/>
      <c r="AD16" s="54"/>
      <c r="AE16" s="45"/>
      <c r="AF16" s="935">
        <f>IF('Spielplan-Sa'!AL$27+'Spielplan-Sa'!AN$27=0,"",IF(AO17="","",RANK(AO17,AO$11:AO$21,0)))</f>
        <v>3</v>
      </c>
      <c r="AG16" s="936"/>
      <c r="AH16" s="937"/>
      <c r="AL16" s="45">
        <f>Z16-AB16</f>
        <v>-15</v>
      </c>
      <c r="AM16" s="531"/>
      <c r="AN16" s="45"/>
      <c r="AO16" s="531"/>
    </row>
    <row r="17" spans="1:41" ht="16.5" customHeight="1">
      <c r="A17" s="946"/>
      <c r="B17" s="80">
        <f>P11</f>
        <v>9</v>
      </c>
      <c r="C17" s="81" t="s">
        <v>7</v>
      </c>
      <c r="D17" s="82">
        <f>N11</f>
        <v>11</v>
      </c>
      <c r="E17" s="83">
        <f>S11</f>
        <v>0</v>
      </c>
      <c r="F17" s="81" t="s">
        <v>7</v>
      </c>
      <c r="G17" s="84">
        <f>Q11</f>
        <v>2</v>
      </c>
      <c r="H17" s="80">
        <f>P14</f>
        <v>13</v>
      </c>
      <c r="I17" s="81" t="s">
        <v>7</v>
      </c>
      <c r="J17" s="82">
        <f>N14</f>
        <v>11</v>
      </c>
      <c r="K17" s="83">
        <f>S14</f>
        <v>2</v>
      </c>
      <c r="L17" s="81" t="s">
        <v>7</v>
      </c>
      <c r="M17" s="84">
        <f>Q14</f>
        <v>0</v>
      </c>
      <c r="N17" s="951"/>
      <c r="O17" s="952"/>
      <c r="P17" s="952"/>
      <c r="Q17" s="952"/>
      <c r="R17" s="952"/>
      <c r="S17" s="953"/>
      <c r="T17" s="80">
        <f>'Spielplan-Sa'!N21</f>
        <v>9</v>
      </c>
      <c r="U17" s="81" t="s">
        <v>7</v>
      </c>
      <c r="V17" s="82">
        <f>'Spielplan-Sa'!P21</f>
        <v>11</v>
      </c>
      <c r="W17" s="83">
        <f>'Spielplan-Sa'!AI21</f>
        <v>0</v>
      </c>
      <c r="X17" s="81" t="s">
        <v>7</v>
      </c>
      <c r="Y17" s="84">
        <f>'Spielplan-Sa'!AK21</f>
        <v>2</v>
      </c>
      <c r="Z17" s="62">
        <f>IF(E17="",0,+E17+IF(K17="",0,+K17+IF(W17="",0,+W17)))</f>
        <v>2</v>
      </c>
      <c r="AA17" s="67" t="s">
        <v>7</v>
      </c>
      <c r="AB17" s="64">
        <f>IF(G17="",0,+G17+IF(M17="",0,+M17+IF(Y17="",0,+Y17)))</f>
        <v>4</v>
      </c>
      <c r="AC17" s="51"/>
      <c r="AD17" s="4"/>
      <c r="AE17" s="52"/>
      <c r="AF17" s="938"/>
      <c r="AG17" s="939"/>
      <c r="AH17" s="940"/>
      <c r="AL17" s="46"/>
      <c r="AM17" s="532">
        <f>IF(Z17&gt;AB17,IF(AB17=0,9000,Z17/AB17*1000),IF(Z17=0,-9000,AB17/Z17*-1000))</f>
        <v>-2000</v>
      </c>
      <c r="AN17" s="46">
        <f>(Z17-AB17)*10000</f>
        <v>-20000</v>
      </c>
      <c r="AO17" s="532">
        <f>AC18*100000+AN17+AM17+AL16</f>
        <v>177985</v>
      </c>
    </row>
    <row r="18" spans="1:41" ht="16.5" customHeight="1" thickBot="1">
      <c r="A18" s="947"/>
      <c r="B18" s="85">
        <f>P12</f>
        <v>0</v>
      </c>
      <c r="C18" s="86" t="s">
        <v>7</v>
      </c>
      <c r="D18" s="87">
        <f>N12</f>
        <v>0</v>
      </c>
      <c r="E18" s="88">
        <f>S12</f>
        <v>0</v>
      </c>
      <c r="F18" s="86" t="s">
        <v>7</v>
      </c>
      <c r="G18" s="89">
        <f>Q12</f>
        <v>2</v>
      </c>
      <c r="H18" s="85">
        <f>P15</f>
        <v>0</v>
      </c>
      <c r="I18" s="86" t="s">
        <v>7</v>
      </c>
      <c r="J18" s="87">
        <f>N15</f>
        <v>0</v>
      </c>
      <c r="K18" s="88">
        <f>S15</f>
        <v>2</v>
      </c>
      <c r="L18" s="86" t="s">
        <v>7</v>
      </c>
      <c r="M18" s="89">
        <f>Q15</f>
        <v>0</v>
      </c>
      <c r="N18" s="954"/>
      <c r="O18" s="955"/>
      <c r="P18" s="955"/>
      <c r="Q18" s="955"/>
      <c r="R18" s="955"/>
      <c r="S18" s="956"/>
      <c r="T18" s="85">
        <f>'Spielplan-Sa'!Q21</f>
        <v>0</v>
      </c>
      <c r="U18" s="86" t="s">
        <v>7</v>
      </c>
      <c r="V18" s="87">
        <f>'Spielplan-Sa'!S21</f>
        <v>0</v>
      </c>
      <c r="W18" s="88">
        <f>'Spielplan-Sa'!AL21</f>
        <v>0</v>
      </c>
      <c r="X18" s="86" t="s">
        <v>7</v>
      </c>
      <c r="Y18" s="89">
        <f>'Spielplan-Sa'!AN21</f>
        <v>2</v>
      </c>
      <c r="Z18" s="65"/>
      <c r="AA18" s="65"/>
      <c r="AB18" s="65"/>
      <c r="AC18" s="93">
        <f>E18+K18+W18</f>
        <v>2</v>
      </c>
      <c r="AD18" s="42" t="s">
        <v>7</v>
      </c>
      <c r="AE18" s="94">
        <f>G18+M18+Y18</f>
        <v>4</v>
      </c>
      <c r="AF18" s="941"/>
      <c r="AG18" s="942"/>
      <c r="AH18" s="943"/>
      <c r="AL18" s="48"/>
      <c r="AM18" s="534"/>
      <c r="AN18" s="48"/>
      <c r="AO18" s="534"/>
    </row>
    <row r="19" spans="1:41" ht="16.5" customHeight="1" thickTop="1">
      <c r="A19" s="945" t="str">
        <f>T7</f>
        <v>Berliner Turnerschaft</v>
      </c>
      <c r="B19" s="79">
        <f>V10</f>
        <v>4</v>
      </c>
      <c r="C19" s="75" t="s">
        <v>7</v>
      </c>
      <c r="D19" s="76">
        <f>T10</f>
        <v>11</v>
      </c>
      <c r="E19" s="77">
        <f>Y10</f>
        <v>16</v>
      </c>
      <c r="F19" s="75" t="s">
        <v>7</v>
      </c>
      <c r="G19" s="78">
        <f>W10</f>
        <v>25</v>
      </c>
      <c r="H19" s="79">
        <f>V13</f>
        <v>12</v>
      </c>
      <c r="I19" s="75" t="s">
        <v>7</v>
      </c>
      <c r="J19" s="76">
        <f>T13</f>
        <v>10</v>
      </c>
      <c r="K19" s="77">
        <f>Y13</f>
        <v>23</v>
      </c>
      <c r="L19" s="75" t="s">
        <v>7</v>
      </c>
      <c r="M19" s="78">
        <f>W13</f>
        <v>15</v>
      </c>
      <c r="N19" s="79">
        <f>V16</f>
        <v>11</v>
      </c>
      <c r="O19" s="75" t="s">
        <v>7</v>
      </c>
      <c r="P19" s="76">
        <f>T16</f>
        <v>1</v>
      </c>
      <c r="Q19" s="77">
        <f>Y16</f>
        <v>22</v>
      </c>
      <c r="R19" s="75" t="s">
        <v>7</v>
      </c>
      <c r="S19" s="78">
        <f>W16</f>
        <v>10</v>
      </c>
      <c r="T19" s="948"/>
      <c r="U19" s="949"/>
      <c r="V19" s="949"/>
      <c r="W19" s="949"/>
      <c r="X19" s="949"/>
      <c r="Y19" s="950"/>
      <c r="Z19" s="59">
        <f>IF(E19="",0,+E19+IF(K19="",0,+K19+IF(Q19="",0,+Q19)))</f>
        <v>61</v>
      </c>
      <c r="AA19" s="66" t="s">
        <v>7</v>
      </c>
      <c r="AB19" s="61">
        <f>IF(G19="",0,+G19+IF(M19="",0,+M19+IF(S19="",0,+S19)))</f>
        <v>50</v>
      </c>
      <c r="AC19" s="53"/>
      <c r="AD19" s="54"/>
      <c r="AE19" s="45"/>
      <c r="AF19" s="935">
        <f>IF('Spielplan-Sa'!AL$27+'Spielplan-Sa'!AN$27=0,"",IF(AO20="","",RANK(AO20,AO$11:AO$21,0)))</f>
        <v>2</v>
      </c>
      <c r="AG19" s="936"/>
      <c r="AH19" s="937"/>
      <c r="AL19" s="45">
        <f>Z19-AB19</f>
        <v>11</v>
      </c>
      <c r="AM19" s="531"/>
      <c r="AN19" s="45"/>
      <c r="AO19" s="531"/>
    </row>
    <row r="20" spans="1:41" ht="16.5" customHeight="1">
      <c r="A20" s="946"/>
      <c r="B20" s="80">
        <f>V11</f>
        <v>12</v>
      </c>
      <c r="C20" s="81" t="s">
        <v>7</v>
      </c>
      <c r="D20" s="82">
        <f>T11</f>
        <v>14</v>
      </c>
      <c r="E20" s="83">
        <f>Y11</f>
        <v>0</v>
      </c>
      <c r="F20" s="81" t="s">
        <v>7</v>
      </c>
      <c r="G20" s="84">
        <f>W11</f>
        <v>2</v>
      </c>
      <c r="H20" s="80">
        <f>V14</f>
        <v>11</v>
      </c>
      <c r="I20" s="81" t="s">
        <v>7</v>
      </c>
      <c r="J20" s="82">
        <f>T14</f>
        <v>5</v>
      </c>
      <c r="K20" s="83">
        <f>Y14</f>
        <v>2</v>
      </c>
      <c r="L20" s="81" t="s">
        <v>7</v>
      </c>
      <c r="M20" s="84">
        <f>W14</f>
        <v>0</v>
      </c>
      <c r="N20" s="80">
        <f>V17</f>
        <v>11</v>
      </c>
      <c r="O20" s="81" t="s">
        <v>7</v>
      </c>
      <c r="P20" s="82">
        <f>T17</f>
        <v>9</v>
      </c>
      <c r="Q20" s="83">
        <f>Y17</f>
        <v>2</v>
      </c>
      <c r="R20" s="81" t="s">
        <v>7</v>
      </c>
      <c r="S20" s="84">
        <f>W17</f>
        <v>0</v>
      </c>
      <c r="T20" s="951"/>
      <c r="U20" s="952"/>
      <c r="V20" s="952"/>
      <c r="W20" s="952"/>
      <c r="X20" s="952"/>
      <c r="Y20" s="953"/>
      <c r="Z20" s="62">
        <f>IF(E20="",0,+E20+IF(K20="",0,+K20+IF(Q20="",0,+Q20)))</f>
        <v>4</v>
      </c>
      <c r="AA20" s="67" t="s">
        <v>7</v>
      </c>
      <c r="AB20" s="64">
        <f>IF(G20="",0,+G20+IF(M20="",0,+M20+IF(S20="",0,+S20)))</f>
        <v>2</v>
      </c>
      <c r="AC20" s="51"/>
      <c r="AD20" s="4"/>
      <c r="AE20" s="52"/>
      <c r="AF20" s="938"/>
      <c r="AG20" s="939"/>
      <c r="AH20" s="940"/>
      <c r="AL20" s="46"/>
      <c r="AM20" s="532">
        <f>IF(Z20&gt;AB20,IF(AB20=0,9000,Z20/AB20*1000),IF(Z20=0,-9000,AB20/Z20*-1000))</f>
        <v>2000</v>
      </c>
      <c r="AN20" s="46">
        <f>(Z20-AB20)*10000</f>
        <v>20000</v>
      </c>
      <c r="AO20" s="532">
        <f>AC21*100000+AN20+AM20+AL19</f>
        <v>422011</v>
      </c>
    </row>
    <row r="21" spans="1:41" ht="16.5" customHeight="1" thickBot="1">
      <c r="A21" s="947"/>
      <c r="B21" s="85">
        <f>V12</f>
        <v>0</v>
      </c>
      <c r="C21" s="86" t="s">
        <v>7</v>
      </c>
      <c r="D21" s="87">
        <f>T12</f>
        <v>0</v>
      </c>
      <c r="E21" s="88">
        <f>Y12</f>
        <v>0</v>
      </c>
      <c r="F21" s="86" t="s">
        <v>7</v>
      </c>
      <c r="G21" s="89">
        <f>W12</f>
        <v>2</v>
      </c>
      <c r="H21" s="85">
        <f>V15</f>
        <v>0</v>
      </c>
      <c r="I21" s="86" t="s">
        <v>7</v>
      </c>
      <c r="J21" s="87">
        <f>T15</f>
        <v>0</v>
      </c>
      <c r="K21" s="88">
        <f>Y15</f>
        <v>2</v>
      </c>
      <c r="L21" s="86" t="s">
        <v>7</v>
      </c>
      <c r="M21" s="89">
        <f>W15</f>
        <v>0</v>
      </c>
      <c r="N21" s="85">
        <f>V18</f>
        <v>0</v>
      </c>
      <c r="O21" s="86" t="s">
        <v>7</v>
      </c>
      <c r="P21" s="87">
        <f>T18</f>
        <v>0</v>
      </c>
      <c r="Q21" s="88">
        <f>Y18</f>
        <v>2</v>
      </c>
      <c r="R21" s="86" t="s">
        <v>7</v>
      </c>
      <c r="S21" s="89">
        <f>W18</f>
        <v>0</v>
      </c>
      <c r="T21" s="954"/>
      <c r="U21" s="955"/>
      <c r="V21" s="955"/>
      <c r="W21" s="955"/>
      <c r="X21" s="955"/>
      <c r="Y21" s="956"/>
      <c r="Z21" s="522"/>
      <c r="AA21" s="523"/>
      <c r="AB21" s="524"/>
      <c r="AC21" s="93">
        <f>E21+K21+Q21</f>
        <v>4</v>
      </c>
      <c r="AD21" s="42" t="s">
        <v>7</v>
      </c>
      <c r="AE21" s="94">
        <f>G21+M21+S21</f>
        <v>2</v>
      </c>
      <c r="AF21" s="941"/>
      <c r="AG21" s="942"/>
      <c r="AH21" s="943"/>
      <c r="AL21" s="48"/>
      <c r="AM21" s="534"/>
      <c r="AN21" s="48"/>
      <c r="AO21" s="534"/>
    </row>
    <row r="22" ht="9" customHeight="1" thickTop="1"/>
    <row r="23" spans="26:41" s="11" customFormat="1" ht="18" customHeight="1" hidden="1">
      <c r="Z23" s="12">
        <f>Z10+Z13+Z16+Z19</f>
        <v>220</v>
      </c>
      <c r="AA23" s="12"/>
      <c r="AB23" s="12">
        <f>AB10+AB13+AB16+AB19</f>
        <v>220</v>
      </c>
      <c r="AC23" s="12"/>
      <c r="AD23" s="12"/>
      <c r="AE23" s="12"/>
      <c r="AF23" s="957">
        <f>IF(AF10="",0,AF10+AF13+AF16+AF19)</f>
        <v>10</v>
      </c>
      <c r="AG23" s="957"/>
      <c r="AH23" s="957"/>
      <c r="AL23" s="12"/>
      <c r="AM23" s="535"/>
      <c r="AN23" s="12"/>
      <c r="AO23" s="535"/>
    </row>
    <row r="24" spans="26:42" s="11" customFormat="1" ht="18" customHeight="1" hidden="1">
      <c r="Z24" s="12">
        <f>Z11+Z14+Z17+Z20</f>
        <v>12</v>
      </c>
      <c r="AA24" s="12"/>
      <c r="AB24" s="12">
        <f>AB11+AB14+AB17+AB20</f>
        <v>12</v>
      </c>
      <c r="AC24" s="12"/>
      <c r="AD24" s="12"/>
      <c r="AE24" s="12"/>
      <c r="AL24" s="12"/>
      <c r="AM24" s="535"/>
      <c r="AN24" s="12"/>
      <c r="AO24" s="535"/>
      <c r="AP24" s="12"/>
    </row>
    <row r="25" spans="26:42" s="11" customFormat="1" ht="18" customHeight="1" hidden="1">
      <c r="Z25" s="12"/>
      <c r="AA25" s="12"/>
      <c r="AB25" s="12"/>
      <c r="AC25" s="540">
        <f>AC12+AC15+AC18+AC21</f>
        <v>12</v>
      </c>
      <c r="AD25" s="12"/>
      <c r="AE25" s="540">
        <f>AE12+AE15+AE18+AE21</f>
        <v>12</v>
      </c>
      <c r="AL25" s="12"/>
      <c r="AM25" s="535"/>
      <c r="AN25" s="12"/>
      <c r="AO25" s="535"/>
      <c r="AP25" s="12"/>
    </row>
    <row r="26" spans="1:42" ht="23.25">
      <c r="A26" s="944" t="s">
        <v>45</v>
      </c>
      <c r="B26" s="944"/>
      <c r="C26" s="944"/>
      <c r="D26" s="944"/>
      <c r="E26" s="944"/>
      <c r="F26" s="944"/>
      <c r="G26" s="944"/>
      <c r="H26" s="944"/>
      <c r="I26" s="944"/>
      <c r="J26" s="944"/>
      <c r="K26" s="944"/>
      <c r="L26" s="944"/>
      <c r="M26" s="944"/>
      <c r="N26" s="944"/>
      <c r="O26" s="944"/>
      <c r="P26" s="944"/>
      <c r="Q26" s="944"/>
      <c r="R26" s="944"/>
      <c r="S26" s="944"/>
      <c r="T26" s="944"/>
      <c r="U26" s="944"/>
      <c r="V26" s="944"/>
      <c r="W26" s="944"/>
      <c r="X26" s="944"/>
      <c r="Y26" s="944"/>
      <c r="Z26" s="944"/>
      <c r="AA26" s="944"/>
      <c r="AB26" s="944"/>
      <c r="AC26" s="944"/>
      <c r="AD26" s="944"/>
      <c r="AE26" s="944"/>
      <c r="AF26" s="944"/>
      <c r="AG26" s="944"/>
      <c r="AH26" s="944"/>
      <c r="AI26" s="944"/>
      <c r="AJ26" s="944"/>
      <c r="AK26" s="944"/>
      <c r="AL26" s="944"/>
      <c r="AM26" s="944"/>
      <c r="AN26" s="944"/>
      <c r="AO26" s="944"/>
      <c r="AP26" s="944"/>
    </row>
    <row r="27" ht="6" customHeight="1"/>
    <row r="28" spans="8:31" ht="20.25">
      <c r="H28" s="7" t="s">
        <v>41</v>
      </c>
      <c r="I28" s="7"/>
      <c r="J28" s="30" t="str">
        <f>IF(AF$10=1,A$10,IF(AF$13=1,A$13,IF(AF$16=1,A$16,IF(AF$19=1,AF$19,""))))</f>
        <v>VfL Kellinghusen</v>
      </c>
      <c r="K28" s="7"/>
      <c r="L28" s="7"/>
      <c r="M28" s="7"/>
      <c r="Z28" s="250">
        <f>IF(AF$10=1,AC$12,IF(AF$13=1,AC$15,IF(AF$16=1,AC$18,IF(AF$19=1,AC$21,""))))</f>
        <v>6</v>
      </c>
      <c r="AA28" s="250" t="s">
        <v>7</v>
      </c>
      <c r="AB28" s="250">
        <f>IF(AF$10=1,AE$12,IF(AF$13=1,AE$15,IF(AF$16=1,AE$18,IF(AF$19=1,AE$21,""))))</f>
        <v>0</v>
      </c>
      <c r="AC28" s="30"/>
      <c r="AD28" s="30"/>
      <c r="AE28" s="30"/>
    </row>
    <row r="29" spans="8:31" ht="20.25">
      <c r="H29" s="7" t="s">
        <v>42</v>
      </c>
      <c r="I29" s="7"/>
      <c r="J29" s="30" t="str">
        <f>IF(AF$10=2,A$10,IF(AF$13=2,A$13,IF(AF$16=2,A$16,IF(AF$19=2,A$19,""))))</f>
        <v>Berliner Turnerschaft</v>
      </c>
      <c r="K29" s="7"/>
      <c r="L29" s="7"/>
      <c r="M29" s="7"/>
      <c r="Z29" s="250">
        <f>IF(AF$10=2,AC$12,IF(AF$13=2,AC$15,IF(AF$16=2,AC$18,IF(AF$19=2,AC$21,""))))</f>
        <v>4</v>
      </c>
      <c r="AA29" s="250" t="s">
        <v>7</v>
      </c>
      <c r="AB29" s="250">
        <f>IF(AF$10=2,AE$12,IF(AF$13=2,AE$15,IF(AF$16=2,AE$18,IF(AF$19=2,AE$21,""))))</f>
        <v>2</v>
      </c>
      <c r="AC29" s="30"/>
      <c r="AD29" s="30"/>
      <c r="AE29" s="30"/>
    </row>
    <row r="30" spans="8:31" ht="20.25">
      <c r="H30" s="7" t="s">
        <v>43</v>
      </c>
      <c r="I30" s="7"/>
      <c r="J30" s="30" t="str">
        <f>IF(AF$10=3,A$10,IF(AF$13=3,A$13,IF(AF$16=3,A$16,IF(AF$19=3,A$19,""))))</f>
        <v>SG Bademeusel</v>
      </c>
      <c r="K30" s="7"/>
      <c r="L30" s="7"/>
      <c r="M30" s="7"/>
      <c r="Z30" s="250">
        <f>IF(AF$10=3,AC$12,IF(AF$13=3,AC$15,IF(AF$16=3,AC$18,IF(AF$19=3,AC$21,""))))</f>
        <v>2</v>
      </c>
      <c r="AA30" s="250" t="s">
        <v>7</v>
      </c>
      <c r="AB30" s="250">
        <f>IF(AF$10=3,AE$12,IF(AF$13=3,AE$15,IF(AF$16=3,AE$18,IF(AF$19=3,AE$21,""))))</f>
        <v>4</v>
      </c>
      <c r="AC30" s="30"/>
      <c r="AD30" s="30"/>
      <c r="AE30" s="30"/>
    </row>
    <row r="31" spans="8:31" ht="20.25">
      <c r="H31" s="7" t="s">
        <v>44</v>
      </c>
      <c r="I31" s="7"/>
      <c r="J31" s="30" t="str">
        <f>IF(AF$10=4,A$10,IF(AF$13=4,A$13,IF(AF$16=4,A$16,IF(AF$19=4,A$19,""))))</f>
        <v>Großenasper SV</v>
      </c>
      <c r="K31" s="7"/>
      <c r="L31" s="7"/>
      <c r="M31" s="7"/>
      <c r="Z31" s="250">
        <f>IF(AF$10=4,AC$12,IF(AF$13=4,AC$15,IF(AF$16=4,AC$18,IF(AF$19=4,AC$21,""))))</f>
        <v>0</v>
      </c>
      <c r="AA31" s="250" t="s">
        <v>7</v>
      </c>
      <c r="AB31" s="250">
        <f>IF(AF$10=4,AE$12,IF(AF$13=4,AE$15,IF(AF$16=4,AE$18,IF(AF$19=4,AE$21,""))))</f>
        <v>6</v>
      </c>
      <c r="AC31" s="30"/>
      <c r="AD31" s="30"/>
      <c r="AE31" s="30"/>
    </row>
    <row r="32" spans="8:31" ht="20.25">
      <c r="H32" s="7"/>
      <c r="I32" s="7"/>
      <c r="J32" s="30"/>
      <c r="K32" s="7"/>
      <c r="L32" s="7"/>
      <c r="M32" s="7"/>
      <c r="Z32" s="250"/>
      <c r="AA32" s="250"/>
      <c r="AB32" s="250"/>
      <c r="AC32" s="30"/>
      <c r="AD32" s="30"/>
      <c r="AE32" s="30"/>
    </row>
    <row r="33" spans="10:13" ht="20.25">
      <c r="J33" s="10"/>
      <c r="K33" s="10"/>
      <c r="L33" s="10"/>
      <c r="M33" s="10"/>
    </row>
  </sheetData>
  <sheetProtection sheet="1" objects="1" scenarios="1" selectLockedCells="1"/>
  <mergeCells count="37">
    <mergeCell ref="A5:P5"/>
    <mergeCell ref="H6:M6"/>
    <mergeCell ref="B10:D10"/>
    <mergeCell ref="T5:AP5"/>
    <mergeCell ref="B7:G9"/>
    <mergeCell ref="N6:S6"/>
    <mergeCell ref="T6:Y6"/>
    <mergeCell ref="N7:S9"/>
    <mergeCell ref="A10:A12"/>
    <mergeCell ref="AF7:AH9"/>
    <mergeCell ref="AC9:AE9"/>
    <mergeCell ref="B12:D12"/>
    <mergeCell ref="B11:D11"/>
    <mergeCell ref="E12:G12"/>
    <mergeCell ref="T7:Y9"/>
    <mergeCell ref="E10:G10"/>
    <mergeCell ref="E11:G11"/>
    <mergeCell ref="AF16:AH18"/>
    <mergeCell ref="H7:M9"/>
    <mergeCell ref="B1:AE1"/>
    <mergeCell ref="B3:AE3"/>
    <mergeCell ref="E4:K4"/>
    <mergeCell ref="Q4:V4"/>
    <mergeCell ref="X4:AB4"/>
    <mergeCell ref="AF10:AH12"/>
    <mergeCell ref="Z7:AB7"/>
    <mergeCell ref="Z8:AB8"/>
    <mergeCell ref="AF19:AH21"/>
    <mergeCell ref="A26:AP26"/>
    <mergeCell ref="A16:A18"/>
    <mergeCell ref="T19:Y21"/>
    <mergeCell ref="AF23:AH23"/>
    <mergeCell ref="H13:M15"/>
    <mergeCell ref="N16:S18"/>
    <mergeCell ref="A19:A21"/>
    <mergeCell ref="A13:A15"/>
    <mergeCell ref="AF13:AH15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P30"/>
  <sheetViews>
    <sheetView zoomScalePageLayoutView="0" workbookViewId="0" topLeftCell="A7">
      <selection activeCell="J27" sqref="J27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5.7109375" style="0" customWidth="1"/>
    <col min="27" max="27" width="1.7109375" style="0" customWidth="1"/>
    <col min="28" max="29" width="5.7109375" style="0" customWidth="1"/>
    <col min="30" max="30" width="0.85546875" style="0" customWidth="1"/>
    <col min="31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8" width="8.7109375" style="11" hidden="1" customWidth="1"/>
    <col min="39" max="39" width="11.7109375" style="526" hidden="1" customWidth="1"/>
    <col min="40" max="40" width="8.7109375" style="11" hidden="1" customWidth="1"/>
    <col min="41" max="41" width="16.57421875" style="526" hidden="1" customWidth="1"/>
    <col min="42" max="42" width="9.140625" style="0" customWidth="1"/>
  </cols>
  <sheetData>
    <row r="1" spans="2:41" ht="30" customHeight="1">
      <c r="B1" s="709" t="s">
        <v>235</v>
      </c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32"/>
      <c r="AG1" s="32"/>
      <c r="AH1" s="32"/>
      <c r="AI1" s="32"/>
      <c r="AJ1" s="32"/>
      <c r="AK1" s="32"/>
      <c r="AL1" s="69"/>
      <c r="AM1" s="525"/>
      <c r="AN1" s="69"/>
      <c r="AO1" s="525"/>
    </row>
    <row r="2" ht="8.25" customHeight="1"/>
    <row r="3" spans="2:41" ht="28.5" customHeight="1">
      <c r="B3" s="944" t="str">
        <f>IF(Mannschaften!D2="","",Mannschaften!D2)</f>
        <v>Ostdeutsche Meisterschaft der männl. Jugend 14 Halle 13/14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41"/>
      <c r="AG3" s="41"/>
      <c r="AH3" s="41"/>
      <c r="AI3" s="41"/>
      <c r="AJ3" s="41"/>
      <c r="AK3" s="41"/>
      <c r="AL3" s="70"/>
      <c r="AM3" s="527"/>
      <c r="AN3" s="70"/>
      <c r="AO3" s="527"/>
    </row>
    <row r="4" spans="2:42" ht="18.75" customHeight="1">
      <c r="B4" s="28"/>
      <c r="C4" s="28"/>
      <c r="E4" s="964" t="str">
        <f>IF(Mannschaften!F4="","",Mannschaften!F4)</f>
        <v>Berlin</v>
      </c>
      <c r="F4" s="964"/>
      <c r="G4" s="964"/>
      <c r="H4" s="964"/>
      <c r="I4" s="964"/>
      <c r="J4" s="964"/>
      <c r="K4" s="964"/>
      <c r="L4" s="514"/>
      <c r="M4" s="514"/>
      <c r="O4" s="28"/>
      <c r="P4" s="28"/>
      <c r="Q4" s="965">
        <f>Mannschaften!K4</f>
        <v>41692</v>
      </c>
      <c r="R4" s="965"/>
      <c r="S4" s="965"/>
      <c r="T4" s="965"/>
      <c r="U4" s="965"/>
      <c r="V4" s="965"/>
      <c r="W4" s="514" t="s">
        <v>92</v>
      </c>
      <c r="X4" s="965">
        <f>Mannschaften!M4</f>
        <v>41693</v>
      </c>
      <c r="Y4" s="965"/>
      <c r="Z4" s="965"/>
      <c r="AA4" s="965"/>
      <c r="AB4" s="965"/>
      <c r="AC4" s="43"/>
      <c r="AD4" s="43"/>
      <c r="AE4" s="43"/>
      <c r="AF4" s="43"/>
      <c r="AG4" s="43"/>
      <c r="AH4" s="43"/>
      <c r="AI4" s="43"/>
      <c r="AJ4" s="43"/>
      <c r="AK4" s="43"/>
      <c r="AL4" s="71"/>
      <c r="AM4" s="528"/>
      <c r="AN4" s="71"/>
      <c r="AO4" s="528"/>
      <c r="AP4" s="28"/>
    </row>
    <row r="5" spans="1:42" ht="23.25" customHeight="1">
      <c r="A5" s="983" t="str">
        <f>Mannschaften!A5</f>
        <v>Ausrichter:     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37"/>
      <c r="R5" s="37"/>
      <c r="S5" s="37"/>
      <c r="T5" s="986" t="str">
        <f>IF(Mannschaften!I5="","",Mannschaften!I5)</f>
        <v>Berliner Turnerschaft</v>
      </c>
      <c r="U5" s="986"/>
      <c r="V5" s="986"/>
      <c r="W5" s="986"/>
      <c r="X5" s="986"/>
      <c r="Y5" s="986"/>
      <c r="Z5" s="986"/>
      <c r="AA5" s="986"/>
      <c r="AB5" s="986"/>
      <c r="AC5" s="986"/>
      <c r="AD5" s="986"/>
      <c r="AE5" s="986"/>
      <c r="AF5" s="986"/>
      <c r="AG5" s="986"/>
      <c r="AH5" s="986"/>
      <c r="AI5" s="986"/>
      <c r="AJ5" s="986"/>
      <c r="AK5" s="986"/>
      <c r="AL5" s="986"/>
      <c r="AM5" s="986"/>
      <c r="AN5" s="986"/>
      <c r="AO5" s="986"/>
      <c r="AP5" s="986"/>
    </row>
    <row r="6" spans="8:25" ht="25.5" customHeight="1" thickBot="1">
      <c r="H6" s="984"/>
      <c r="I6" s="984"/>
      <c r="J6" s="984"/>
      <c r="K6" s="984"/>
      <c r="L6" s="984"/>
      <c r="M6" s="984"/>
      <c r="N6" s="984" t="str">
        <f>Mannschaften!H3</f>
        <v>M U14</v>
      </c>
      <c r="O6" s="984"/>
      <c r="P6" s="984"/>
      <c r="Q6" s="984"/>
      <c r="R6" s="984"/>
      <c r="S6" s="984"/>
      <c r="T6" s="984" t="s">
        <v>6</v>
      </c>
      <c r="U6" s="984"/>
      <c r="V6" s="984"/>
      <c r="W6" s="984"/>
      <c r="X6" s="984"/>
      <c r="Y6" s="984"/>
    </row>
    <row r="7" spans="1:41" ht="16.5" customHeight="1" thickTop="1">
      <c r="A7" s="6" t="s">
        <v>27</v>
      </c>
      <c r="B7" s="958" t="str">
        <f>'Spielplan-Sa'!T10</f>
        <v>TSV LoLa</v>
      </c>
      <c r="C7" s="959"/>
      <c r="D7" s="959"/>
      <c r="E7" s="959"/>
      <c r="F7" s="959"/>
      <c r="G7" s="960"/>
      <c r="H7" s="958" t="str">
        <f>'Spielplan-Sa'!T11</f>
        <v>Güstrower SC 09</v>
      </c>
      <c r="I7" s="959"/>
      <c r="J7" s="959"/>
      <c r="K7" s="959"/>
      <c r="L7" s="959"/>
      <c r="M7" s="960"/>
      <c r="N7" s="987" t="str">
        <f>'Spielplan-Sa'!T12</f>
        <v>SG Stern Kaulsdorf</v>
      </c>
      <c r="O7" s="988"/>
      <c r="P7" s="988"/>
      <c r="Q7" s="988"/>
      <c r="R7" s="988"/>
      <c r="S7" s="989"/>
      <c r="T7" s="958"/>
      <c r="U7" s="959"/>
      <c r="V7" s="959"/>
      <c r="W7" s="959"/>
      <c r="X7" s="959"/>
      <c r="Y7" s="960"/>
      <c r="Z7" s="966" t="s">
        <v>36</v>
      </c>
      <c r="AA7" s="967"/>
      <c r="AB7" s="968"/>
      <c r="AC7" s="49"/>
      <c r="AD7" s="50"/>
      <c r="AE7" s="44"/>
      <c r="AF7" s="993" t="s">
        <v>37</v>
      </c>
      <c r="AG7" s="1029"/>
      <c r="AH7" s="1030"/>
      <c r="AL7" s="72"/>
      <c r="AM7" s="529"/>
      <c r="AN7" s="72"/>
      <c r="AO7" s="529"/>
    </row>
    <row r="8" spans="1:41" ht="16.5" customHeight="1">
      <c r="A8" s="40"/>
      <c r="B8" s="961"/>
      <c r="C8" s="962"/>
      <c r="D8" s="962"/>
      <c r="E8" s="962"/>
      <c r="F8" s="962"/>
      <c r="G8" s="963"/>
      <c r="H8" s="961"/>
      <c r="I8" s="962"/>
      <c r="J8" s="962"/>
      <c r="K8" s="962"/>
      <c r="L8" s="962"/>
      <c r="M8" s="963"/>
      <c r="N8" s="990"/>
      <c r="O8" s="991"/>
      <c r="P8" s="991"/>
      <c r="Q8" s="991"/>
      <c r="R8" s="991"/>
      <c r="S8" s="992"/>
      <c r="T8" s="961"/>
      <c r="U8" s="962"/>
      <c r="V8" s="962"/>
      <c r="W8" s="962"/>
      <c r="X8" s="962"/>
      <c r="Y8" s="963"/>
      <c r="Z8" s="969" t="s">
        <v>123</v>
      </c>
      <c r="AA8" s="970"/>
      <c r="AB8" s="971"/>
      <c r="AC8" s="51"/>
      <c r="AD8" s="4"/>
      <c r="AE8" s="52"/>
      <c r="AF8" s="1031"/>
      <c r="AG8" s="1032"/>
      <c r="AH8" s="1033"/>
      <c r="AL8" s="73" t="s">
        <v>142</v>
      </c>
      <c r="AM8" s="530" t="s">
        <v>119</v>
      </c>
      <c r="AN8" s="73" t="s">
        <v>119</v>
      </c>
      <c r="AO8" s="530" t="s">
        <v>37</v>
      </c>
    </row>
    <row r="9" spans="1:41" ht="16.5" customHeight="1" thickBot="1">
      <c r="A9" s="40"/>
      <c r="B9" s="1002"/>
      <c r="C9" s="1003"/>
      <c r="D9" s="1003"/>
      <c r="E9" s="1003"/>
      <c r="F9" s="1003"/>
      <c r="G9" s="1004"/>
      <c r="H9" s="1002"/>
      <c r="I9" s="1003"/>
      <c r="J9" s="1003"/>
      <c r="K9" s="1003"/>
      <c r="L9" s="1003"/>
      <c r="M9" s="1004"/>
      <c r="N9" s="1005"/>
      <c r="O9" s="1006"/>
      <c r="P9" s="1006"/>
      <c r="Q9" s="1006"/>
      <c r="R9" s="1006"/>
      <c r="S9" s="1007"/>
      <c r="T9" s="1002"/>
      <c r="U9" s="1003"/>
      <c r="V9" s="1003"/>
      <c r="W9" s="1003"/>
      <c r="X9" s="1003"/>
      <c r="Y9" s="1004"/>
      <c r="AC9" s="972" t="s">
        <v>35</v>
      </c>
      <c r="AD9" s="973"/>
      <c r="AE9" s="974"/>
      <c r="AF9" s="1034"/>
      <c r="AG9" s="1035"/>
      <c r="AH9" s="1036"/>
      <c r="AL9" s="73" t="s">
        <v>143</v>
      </c>
      <c r="AM9" s="530" t="s">
        <v>144</v>
      </c>
      <c r="AN9" s="73" t="s">
        <v>143</v>
      </c>
      <c r="AO9" s="530" t="s">
        <v>145</v>
      </c>
    </row>
    <row r="10" spans="1:41" ht="16.5" customHeight="1" thickTop="1">
      <c r="A10" s="945" t="str">
        <f>B7</f>
        <v>TSV LoLa</v>
      </c>
      <c r="B10" s="1022" t="s">
        <v>129</v>
      </c>
      <c r="C10" s="1023"/>
      <c r="D10" s="1024"/>
      <c r="E10" s="1025" t="s">
        <v>36</v>
      </c>
      <c r="F10" s="1023"/>
      <c r="G10" s="1026"/>
      <c r="H10" s="74">
        <f>'Spielplan-Sa'!K22</f>
        <v>11</v>
      </c>
      <c r="I10" s="75" t="s">
        <v>7</v>
      </c>
      <c r="J10" s="76">
        <f>'Spielplan-Sa'!M22</f>
        <v>6</v>
      </c>
      <c r="K10" s="77">
        <f>'Spielplan-Sa'!AF22</f>
        <v>22</v>
      </c>
      <c r="L10" s="75" t="s">
        <v>7</v>
      </c>
      <c r="M10" s="78">
        <f>'Spielplan-Sa'!AH22</f>
        <v>9</v>
      </c>
      <c r="N10" s="79">
        <f>'Spielplan-Sa'!K28</f>
        <v>11</v>
      </c>
      <c r="O10" s="75" t="s">
        <v>7</v>
      </c>
      <c r="P10" s="76">
        <f>'Spielplan-Sa'!M28</f>
        <v>0</v>
      </c>
      <c r="Q10" s="77">
        <f>'Spielplan-Sa'!AF28</f>
        <v>22</v>
      </c>
      <c r="R10" s="75" t="s">
        <v>7</v>
      </c>
      <c r="S10" s="78">
        <f>'Spielplan-Sa'!AH28</f>
        <v>0</v>
      </c>
      <c r="T10" s="79"/>
      <c r="U10" s="75"/>
      <c r="V10" s="76"/>
      <c r="W10" s="77"/>
      <c r="X10" s="75"/>
      <c r="Y10" s="78"/>
      <c r="Z10" s="59">
        <f>IF(K10="",0,+K10+IF(Q10="",0,+Q10+IF(W10="",0,+W10)))</f>
        <v>44</v>
      </c>
      <c r="AA10" s="60" t="s">
        <v>7</v>
      </c>
      <c r="AB10" s="61">
        <f>IF(M10="",0,+M10+IF(S10="",0,+S10+IF(Y10="",0,+Y10)))</f>
        <v>9</v>
      </c>
      <c r="AC10" s="53"/>
      <c r="AD10" s="54"/>
      <c r="AE10" s="45"/>
      <c r="AF10" s="1037">
        <f>IF('Spielplan-Sa'!AL$28+'Spielplan-Sa'!AN$28=0,"",IF(AO11="","",RANK(AO11,AO$11:AO$18,0)))</f>
        <v>1</v>
      </c>
      <c r="AG10" s="1038"/>
      <c r="AH10" s="1039"/>
      <c r="AL10" s="45">
        <f>Z10-AB10</f>
        <v>35</v>
      </c>
      <c r="AM10" s="531"/>
      <c r="AN10" s="45"/>
      <c r="AO10" s="531"/>
    </row>
    <row r="11" spans="1:41" ht="16.5" customHeight="1">
      <c r="A11" s="946"/>
      <c r="B11" s="1014" t="s">
        <v>121</v>
      </c>
      <c r="C11" s="1015"/>
      <c r="D11" s="1016"/>
      <c r="E11" s="1017" t="s">
        <v>123</v>
      </c>
      <c r="F11" s="1015"/>
      <c r="G11" s="1018"/>
      <c r="H11" s="80">
        <f>'Spielplan-Sa'!N22</f>
        <v>11</v>
      </c>
      <c r="I11" s="81" t="s">
        <v>7</v>
      </c>
      <c r="J11" s="82">
        <f>'Spielplan-Sa'!P22</f>
        <v>3</v>
      </c>
      <c r="K11" s="83">
        <f>'Spielplan-Sa'!AI22</f>
        <v>2</v>
      </c>
      <c r="L11" s="81" t="s">
        <v>7</v>
      </c>
      <c r="M11" s="84">
        <f>'Spielplan-Sa'!AK22</f>
        <v>0</v>
      </c>
      <c r="N11" s="80">
        <f>'Spielplan-Sa'!N28</f>
        <v>11</v>
      </c>
      <c r="O11" s="81" t="s">
        <v>7</v>
      </c>
      <c r="P11" s="82">
        <f>'Spielplan-Sa'!P28</f>
        <v>0</v>
      </c>
      <c r="Q11" s="83">
        <f>'Spielplan-Sa'!AI28</f>
        <v>2</v>
      </c>
      <c r="R11" s="81" t="s">
        <v>7</v>
      </c>
      <c r="S11" s="84">
        <f>'Spielplan-Sa'!AK28</f>
        <v>0</v>
      </c>
      <c r="T11" s="80"/>
      <c r="U11" s="81"/>
      <c r="V11" s="82"/>
      <c r="W11" s="83"/>
      <c r="X11" s="81"/>
      <c r="Y11" s="84"/>
      <c r="Z11" s="62">
        <f>IF(K11="",0,+K11+IF(Q11="",0,+Q11+IF(W11="",0,+W11)))</f>
        <v>4</v>
      </c>
      <c r="AA11" s="63" t="s">
        <v>7</v>
      </c>
      <c r="AB11" s="64">
        <f>IF(M11="",0,+M11+IF(S11="",0,+S11+IF(Y11="",0,+Y11)))</f>
        <v>0</v>
      </c>
      <c r="AC11" s="51"/>
      <c r="AD11" s="4"/>
      <c r="AE11" s="52"/>
      <c r="AF11" s="1040"/>
      <c r="AG11" s="1041"/>
      <c r="AH11" s="1042"/>
      <c r="AL11" s="46"/>
      <c r="AM11" s="532">
        <f>IF(Z11&gt;AB11,IF(AB11=0,9000,Z11/AB11*1000),IF(Z11=0,-9000,AB11/Z11*-1000))</f>
        <v>9000</v>
      </c>
      <c r="AN11" s="46">
        <f>(Z11-AB11)*10000</f>
        <v>40000</v>
      </c>
      <c r="AO11" s="532">
        <f>AC12*100000+AN11+AM11+AL10</f>
        <v>449035</v>
      </c>
    </row>
    <row r="12" spans="1:41" ht="16.5" customHeight="1" thickBot="1">
      <c r="A12" s="947"/>
      <c r="B12" s="1019" t="s">
        <v>122</v>
      </c>
      <c r="C12" s="1020"/>
      <c r="D12" s="1021"/>
      <c r="E12" s="1027" t="s">
        <v>35</v>
      </c>
      <c r="F12" s="1020"/>
      <c r="G12" s="1028"/>
      <c r="H12" s="85">
        <f>'Spielplan-Sa'!Q22</f>
        <v>0</v>
      </c>
      <c r="I12" s="86" t="s">
        <v>7</v>
      </c>
      <c r="J12" s="87">
        <f>'Spielplan-Sa'!S22</f>
        <v>0</v>
      </c>
      <c r="K12" s="88">
        <f>'Spielplan-Sa'!AL22</f>
        <v>2</v>
      </c>
      <c r="L12" s="86" t="s">
        <v>7</v>
      </c>
      <c r="M12" s="89">
        <f>'Spielplan-Sa'!AN22</f>
        <v>0</v>
      </c>
      <c r="N12" s="85">
        <f>'Spielplan-Sa'!Q28</f>
        <v>0</v>
      </c>
      <c r="O12" s="86" t="s">
        <v>7</v>
      </c>
      <c r="P12" s="87">
        <f>'Spielplan-Sa'!S28</f>
        <v>0</v>
      </c>
      <c r="Q12" s="88">
        <f>'Spielplan-Sa'!AL28</f>
        <v>2</v>
      </c>
      <c r="R12" s="86" t="s">
        <v>7</v>
      </c>
      <c r="S12" s="89">
        <f>'Spielplan-Sa'!AN28</f>
        <v>0</v>
      </c>
      <c r="T12" s="85"/>
      <c r="U12" s="86"/>
      <c r="V12" s="87"/>
      <c r="W12" s="88"/>
      <c r="X12" s="86"/>
      <c r="Y12" s="89"/>
      <c r="Z12" s="65"/>
      <c r="AA12" s="65"/>
      <c r="AB12" s="65"/>
      <c r="AC12" s="93">
        <f>K12+Q12+W12</f>
        <v>4</v>
      </c>
      <c r="AD12" s="42" t="s">
        <v>7</v>
      </c>
      <c r="AE12" s="94">
        <f>M12+S12+Y12</f>
        <v>0</v>
      </c>
      <c r="AF12" s="1043"/>
      <c r="AG12" s="1044"/>
      <c r="AH12" s="1045"/>
      <c r="AL12" s="47"/>
      <c r="AM12" s="533"/>
      <c r="AN12" s="47"/>
      <c r="AO12" s="533"/>
    </row>
    <row r="13" spans="1:41" ht="16.5" customHeight="1" thickTop="1">
      <c r="A13" s="945" t="str">
        <f>H7</f>
        <v>Güstrower SC 09</v>
      </c>
      <c r="B13" s="79">
        <f>J10</f>
        <v>6</v>
      </c>
      <c r="C13" s="75" t="s">
        <v>7</v>
      </c>
      <c r="D13" s="90">
        <f>H10</f>
        <v>11</v>
      </c>
      <c r="E13" s="77">
        <f>M10</f>
        <v>9</v>
      </c>
      <c r="F13" s="75" t="s">
        <v>7</v>
      </c>
      <c r="G13" s="78">
        <f>K10</f>
        <v>22</v>
      </c>
      <c r="H13" s="948"/>
      <c r="I13" s="949"/>
      <c r="J13" s="949"/>
      <c r="K13" s="949"/>
      <c r="L13" s="949"/>
      <c r="M13" s="950"/>
      <c r="N13" s="79">
        <f>'Spielplan-Sa'!K24</f>
        <v>11</v>
      </c>
      <c r="O13" s="75" t="s">
        <v>7</v>
      </c>
      <c r="P13" s="76">
        <f>'Spielplan-Sa'!M24</f>
        <v>0</v>
      </c>
      <c r="Q13" s="77">
        <f>'Spielplan-Sa'!AF24</f>
        <v>22</v>
      </c>
      <c r="R13" s="75" t="s">
        <v>7</v>
      </c>
      <c r="S13" s="78">
        <f>'Spielplan-Sa'!AH24</f>
        <v>0</v>
      </c>
      <c r="T13" s="79"/>
      <c r="U13" s="75"/>
      <c r="V13" s="76"/>
      <c r="W13" s="77"/>
      <c r="X13" s="75"/>
      <c r="Y13" s="78"/>
      <c r="Z13" s="59">
        <f>IF(E13="",0,+E13+IF(Q13="",0,+Q13+IF(W13="",0,+W13)))</f>
        <v>31</v>
      </c>
      <c r="AA13" s="66" t="s">
        <v>7</v>
      </c>
      <c r="AB13" s="61">
        <f>IF(G13="",0,+G13+IF(S13="",0,+S13+IF(Y13="",0,+Y13)))</f>
        <v>22</v>
      </c>
      <c r="AC13" s="53"/>
      <c r="AD13" s="54"/>
      <c r="AE13" s="45"/>
      <c r="AF13" s="935">
        <f>IF('Spielplan-Sa'!AL$28+'Spielplan-Sa'!AN$28=0,"",IF(AO14="","",RANK(AO14,AO$11:AO$18,0)))</f>
        <v>2</v>
      </c>
      <c r="AG13" s="1008"/>
      <c r="AH13" s="1009"/>
      <c r="AL13" s="45">
        <f>Z13-AB13</f>
        <v>9</v>
      </c>
      <c r="AM13" s="531"/>
      <c r="AN13" s="45"/>
      <c r="AO13" s="531"/>
    </row>
    <row r="14" spans="1:41" ht="16.5" customHeight="1">
      <c r="A14" s="946"/>
      <c r="B14" s="80">
        <f>J11</f>
        <v>3</v>
      </c>
      <c r="C14" s="81" t="s">
        <v>7</v>
      </c>
      <c r="D14" s="91">
        <f>H11</f>
        <v>11</v>
      </c>
      <c r="E14" s="83">
        <f>M11</f>
        <v>0</v>
      </c>
      <c r="F14" s="81" t="s">
        <v>7</v>
      </c>
      <c r="G14" s="84">
        <f>K11</f>
        <v>2</v>
      </c>
      <c r="H14" s="951"/>
      <c r="I14" s="952"/>
      <c r="J14" s="952"/>
      <c r="K14" s="952"/>
      <c r="L14" s="952"/>
      <c r="M14" s="953"/>
      <c r="N14" s="80">
        <f>'Spielplan-Sa'!N24</f>
        <v>11</v>
      </c>
      <c r="O14" s="81" t="s">
        <v>7</v>
      </c>
      <c r="P14" s="82">
        <f>'Spielplan-Sa'!P24</f>
        <v>0</v>
      </c>
      <c r="Q14" s="83">
        <f>'Spielplan-Sa'!AI24</f>
        <v>2</v>
      </c>
      <c r="R14" s="81" t="s">
        <v>7</v>
      </c>
      <c r="S14" s="84">
        <f>'Spielplan-Sa'!AK24</f>
        <v>0</v>
      </c>
      <c r="T14" s="80"/>
      <c r="U14" s="81"/>
      <c r="V14" s="82"/>
      <c r="W14" s="83"/>
      <c r="X14" s="81"/>
      <c r="Y14" s="84"/>
      <c r="Z14" s="62">
        <f>IF(E14="",0,+E14+IF(Q14="",0,+Q14+IF(W14="",0,+W14)))</f>
        <v>2</v>
      </c>
      <c r="AA14" s="67" t="s">
        <v>7</v>
      </c>
      <c r="AB14" s="64">
        <f>IF(G14="",0,+G14+IF(S14="",0,+S14+IF(Y14="",0,+Y14)))</f>
        <v>2</v>
      </c>
      <c r="AC14" s="51"/>
      <c r="AD14" s="4"/>
      <c r="AE14" s="52"/>
      <c r="AF14" s="938"/>
      <c r="AG14" s="1010"/>
      <c r="AH14" s="1011"/>
      <c r="AL14" s="46"/>
      <c r="AM14" s="532">
        <f>IF(Z14&gt;AB14,IF(AB14=0,9000,Z14/AB14*1000),IF(Z14=0,-9000,AB14/Z14*-1000))</f>
        <v>-1000</v>
      </c>
      <c r="AN14" s="46">
        <f>(Z14-AB14)*10000</f>
        <v>0</v>
      </c>
      <c r="AO14" s="532">
        <f>AC15*100000+AN14+AM14+AL13</f>
        <v>199009</v>
      </c>
    </row>
    <row r="15" spans="1:41" ht="16.5" customHeight="1" thickBot="1">
      <c r="A15" s="947"/>
      <c r="B15" s="85">
        <f>J12</f>
        <v>0</v>
      </c>
      <c r="C15" s="86" t="s">
        <v>7</v>
      </c>
      <c r="D15" s="92">
        <f>H12</f>
        <v>0</v>
      </c>
      <c r="E15" s="88">
        <f>M12</f>
        <v>0</v>
      </c>
      <c r="F15" s="86" t="s">
        <v>7</v>
      </c>
      <c r="G15" s="89">
        <f>K12</f>
        <v>2</v>
      </c>
      <c r="H15" s="954"/>
      <c r="I15" s="955"/>
      <c r="J15" s="955"/>
      <c r="K15" s="955"/>
      <c r="L15" s="955"/>
      <c r="M15" s="956"/>
      <c r="N15" s="85">
        <f>'Spielplan-Sa'!Q24</f>
        <v>0</v>
      </c>
      <c r="O15" s="86" t="s">
        <v>7</v>
      </c>
      <c r="P15" s="87">
        <f>'Spielplan-Sa'!S24</f>
        <v>0</v>
      </c>
      <c r="Q15" s="88">
        <f>'Spielplan-Sa'!AL24</f>
        <v>2</v>
      </c>
      <c r="R15" s="86" t="s">
        <v>7</v>
      </c>
      <c r="S15" s="89">
        <f>'Spielplan-Sa'!AN24</f>
        <v>0</v>
      </c>
      <c r="T15" s="85"/>
      <c r="U15" s="86"/>
      <c r="V15" s="87"/>
      <c r="W15" s="88"/>
      <c r="X15" s="86"/>
      <c r="Y15" s="89"/>
      <c r="Z15" s="65"/>
      <c r="AA15" s="65"/>
      <c r="AB15" s="65"/>
      <c r="AC15" s="93">
        <f>E15+Q15+W15</f>
        <v>2</v>
      </c>
      <c r="AD15" s="42" t="s">
        <v>7</v>
      </c>
      <c r="AE15" s="94">
        <f>G15+S15+Y15</f>
        <v>2</v>
      </c>
      <c r="AF15" s="941"/>
      <c r="AG15" s="1012"/>
      <c r="AH15" s="1013"/>
      <c r="AL15" s="48"/>
      <c r="AM15" s="534"/>
      <c r="AN15" s="48"/>
      <c r="AO15" s="534"/>
    </row>
    <row r="16" spans="1:41" ht="16.5" customHeight="1" thickTop="1">
      <c r="A16" s="945" t="str">
        <f>N7</f>
        <v>SG Stern Kaulsdorf</v>
      </c>
      <c r="B16" s="79">
        <f>P10</f>
        <v>0</v>
      </c>
      <c r="C16" s="75" t="s">
        <v>7</v>
      </c>
      <c r="D16" s="76">
        <f>N10</f>
        <v>11</v>
      </c>
      <c r="E16" s="77">
        <f>S10</f>
        <v>0</v>
      </c>
      <c r="F16" s="75" t="s">
        <v>7</v>
      </c>
      <c r="G16" s="78">
        <f>Q10</f>
        <v>22</v>
      </c>
      <c r="H16" s="79">
        <f>P13</f>
        <v>0</v>
      </c>
      <c r="I16" s="75" t="s">
        <v>7</v>
      </c>
      <c r="J16" s="76">
        <f>N13</f>
        <v>11</v>
      </c>
      <c r="K16" s="77">
        <f>S13</f>
        <v>0</v>
      </c>
      <c r="L16" s="75" t="s">
        <v>7</v>
      </c>
      <c r="M16" s="78">
        <f>Q13</f>
        <v>22</v>
      </c>
      <c r="N16" s="948"/>
      <c r="O16" s="949"/>
      <c r="P16" s="949"/>
      <c r="Q16" s="949"/>
      <c r="R16" s="949"/>
      <c r="S16" s="950"/>
      <c r="T16" s="79"/>
      <c r="U16" s="75"/>
      <c r="V16" s="76"/>
      <c r="W16" s="77"/>
      <c r="X16" s="75"/>
      <c r="Y16" s="78"/>
      <c r="Z16" s="59">
        <f>IF(E16="",0,+E16+IF(K16="",0,+K16+IF(W16="",0,+W16)))</f>
        <v>0</v>
      </c>
      <c r="AA16" s="66" t="s">
        <v>7</v>
      </c>
      <c r="AB16" s="61">
        <f>IF(G16="",0,+G16+IF(M16="",0,+M16+IF(Y16="",0,+Y16)))</f>
        <v>44</v>
      </c>
      <c r="AC16" s="53"/>
      <c r="AD16" s="54"/>
      <c r="AE16" s="45"/>
      <c r="AF16" s="935">
        <f>IF('Spielplan-Sa'!AL$28+'Spielplan-Sa'!AN$28=0,"",IF(AO17="","",RANK(AO17,AO$11:AO$18,0)))</f>
        <v>3</v>
      </c>
      <c r="AG16" s="1008"/>
      <c r="AH16" s="1009"/>
      <c r="AL16" s="45">
        <f>Z16-AB16</f>
        <v>-44</v>
      </c>
      <c r="AM16" s="531"/>
      <c r="AN16" s="45"/>
      <c r="AO16" s="531"/>
    </row>
    <row r="17" spans="1:41" ht="16.5" customHeight="1">
      <c r="A17" s="946"/>
      <c r="B17" s="80">
        <f>P11</f>
        <v>0</v>
      </c>
      <c r="C17" s="81" t="s">
        <v>7</v>
      </c>
      <c r="D17" s="82">
        <f>N11</f>
        <v>11</v>
      </c>
      <c r="E17" s="83">
        <f>S11</f>
        <v>0</v>
      </c>
      <c r="F17" s="81" t="s">
        <v>7</v>
      </c>
      <c r="G17" s="84">
        <f>Q11</f>
        <v>2</v>
      </c>
      <c r="H17" s="80">
        <f>P14</f>
        <v>0</v>
      </c>
      <c r="I17" s="81" t="s">
        <v>7</v>
      </c>
      <c r="J17" s="82">
        <f>N14</f>
        <v>11</v>
      </c>
      <c r="K17" s="83">
        <f>S14</f>
        <v>0</v>
      </c>
      <c r="L17" s="81" t="s">
        <v>7</v>
      </c>
      <c r="M17" s="84">
        <f>Q14</f>
        <v>2</v>
      </c>
      <c r="N17" s="951"/>
      <c r="O17" s="952"/>
      <c r="P17" s="952"/>
      <c r="Q17" s="952"/>
      <c r="R17" s="952"/>
      <c r="S17" s="953"/>
      <c r="T17" s="80"/>
      <c r="U17" s="81"/>
      <c r="V17" s="82"/>
      <c r="W17" s="83"/>
      <c r="X17" s="81"/>
      <c r="Y17" s="84"/>
      <c r="Z17" s="62">
        <f>IF(E17="",0,+E17+IF(K17="",0,+K17+IF(W17="",0,+W17)))</f>
        <v>0</v>
      </c>
      <c r="AA17" s="67" t="s">
        <v>7</v>
      </c>
      <c r="AB17" s="64">
        <f>IF(G17="",0,+G17+IF(M17="",0,+M17+IF(Y17="",0,+Y17)))</f>
        <v>4</v>
      </c>
      <c r="AC17" s="51"/>
      <c r="AD17" s="4"/>
      <c r="AE17" s="52"/>
      <c r="AF17" s="938"/>
      <c r="AG17" s="1010"/>
      <c r="AH17" s="1011"/>
      <c r="AL17" s="46"/>
      <c r="AM17" s="532">
        <f>IF(Z17&gt;AB17,IF(AB17=0,9000,Z17/AB17*1000),IF(Z17=0,-9000,AB17/Z17*-1000))</f>
        <v>-9000</v>
      </c>
      <c r="AN17" s="46">
        <f>(Z17-AB17)*10000</f>
        <v>-40000</v>
      </c>
      <c r="AO17" s="532">
        <f>AC18*100000+AN17+AM17+AL16</f>
        <v>-49044</v>
      </c>
    </row>
    <row r="18" spans="1:41" ht="16.5" customHeight="1" thickBot="1">
      <c r="A18" s="947"/>
      <c r="B18" s="85">
        <f>P12</f>
        <v>0</v>
      </c>
      <c r="C18" s="86" t="s">
        <v>7</v>
      </c>
      <c r="D18" s="87">
        <f>N12</f>
        <v>0</v>
      </c>
      <c r="E18" s="88">
        <f>S12</f>
        <v>0</v>
      </c>
      <c r="F18" s="86" t="s">
        <v>7</v>
      </c>
      <c r="G18" s="89">
        <f>Q12</f>
        <v>2</v>
      </c>
      <c r="H18" s="85">
        <f>P15</f>
        <v>0</v>
      </c>
      <c r="I18" s="86" t="s">
        <v>7</v>
      </c>
      <c r="J18" s="87">
        <f>N15</f>
        <v>0</v>
      </c>
      <c r="K18" s="88">
        <f>S15</f>
        <v>0</v>
      </c>
      <c r="L18" s="86" t="s">
        <v>7</v>
      </c>
      <c r="M18" s="89">
        <f>Q15</f>
        <v>2</v>
      </c>
      <c r="N18" s="954"/>
      <c r="O18" s="955"/>
      <c r="P18" s="955"/>
      <c r="Q18" s="955"/>
      <c r="R18" s="955"/>
      <c r="S18" s="956"/>
      <c r="T18" s="85"/>
      <c r="U18" s="86"/>
      <c r="V18" s="87"/>
      <c r="W18" s="88"/>
      <c r="X18" s="86"/>
      <c r="Y18" s="89"/>
      <c r="Z18" s="65"/>
      <c r="AA18" s="65"/>
      <c r="AB18" s="65"/>
      <c r="AC18" s="93">
        <f>E18+K18+W18</f>
        <v>0</v>
      </c>
      <c r="AD18" s="42" t="s">
        <v>7</v>
      </c>
      <c r="AE18" s="94">
        <f>G18+M18+Y18</f>
        <v>4</v>
      </c>
      <c r="AF18" s="941"/>
      <c r="AG18" s="1012"/>
      <c r="AH18" s="1013"/>
      <c r="AL18" s="48"/>
      <c r="AM18" s="534"/>
      <c r="AN18" s="48"/>
      <c r="AO18" s="534"/>
    </row>
    <row r="19" ht="9" customHeight="1" thickTop="1"/>
    <row r="20" spans="26:41" s="11" customFormat="1" ht="18" customHeight="1" hidden="1">
      <c r="Z20" s="12" t="e">
        <f>Z10+Z13+Z16+#REF!</f>
        <v>#REF!</v>
      </c>
      <c r="AA20" s="12"/>
      <c r="AB20" s="12" t="e">
        <f>AB10+AB13+AB16+#REF!</f>
        <v>#REF!</v>
      </c>
      <c r="AC20" s="12"/>
      <c r="AD20" s="12"/>
      <c r="AE20" s="12"/>
      <c r="AF20" s="957" t="e">
        <f>IF(AF10="",0,AF10+AF13+AF16+#REF!)</f>
        <v>#REF!</v>
      </c>
      <c r="AG20" s="957"/>
      <c r="AH20" s="957"/>
      <c r="AL20" s="12"/>
      <c r="AM20" s="535"/>
      <c r="AN20" s="12"/>
      <c r="AO20" s="535"/>
    </row>
    <row r="21" spans="26:42" s="11" customFormat="1" ht="18" customHeight="1" hidden="1">
      <c r="Z21" s="12" t="e">
        <f>Z11+Z14+Z17+#REF!</f>
        <v>#REF!</v>
      </c>
      <c r="AA21" s="12"/>
      <c r="AB21" s="12" t="e">
        <f>AB11+AB14+AB17+#REF!</f>
        <v>#REF!</v>
      </c>
      <c r="AC21" s="12"/>
      <c r="AD21" s="12"/>
      <c r="AE21" s="12"/>
      <c r="AL21" s="12"/>
      <c r="AM21" s="535"/>
      <c r="AN21" s="12"/>
      <c r="AO21" s="535"/>
      <c r="AP21" s="12"/>
    </row>
    <row r="22" spans="26:42" s="11" customFormat="1" ht="18" customHeight="1" hidden="1">
      <c r="Z22" s="12"/>
      <c r="AA22" s="12"/>
      <c r="AB22" s="12"/>
      <c r="AC22" s="540" t="e">
        <f>AC12+AC15+AC18+#REF!</f>
        <v>#REF!</v>
      </c>
      <c r="AD22" s="12"/>
      <c r="AE22" s="540" t="e">
        <f>AE12+AE15+AE18+#REF!</f>
        <v>#REF!</v>
      </c>
      <c r="AL22" s="12"/>
      <c r="AM22" s="535"/>
      <c r="AN22" s="12"/>
      <c r="AO22" s="535"/>
      <c r="AP22" s="12"/>
    </row>
    <row r="23" spans="1:42" ht="23.25">
      <c r="A23" s="944" t="s">
        <v>46</v>
      </c>
      <c r="B23" s="944"/>
      <c r="C23" s="944"/>
      <c r="D23" s="944"/>
      <c r="E23" s="944"/>
      <c r="F23" s="944"/>
      <c r="G23" s="944"/>
      <c r="H23" s="944"/>
      <c r="I23" s="944"/>
      <c r="J23" s="944"/>
      <c r="K23" s="944"/>
      <c r="L23" s="944"/>
      <c r="M23" s="944"/>
      <c r="N23" s="944"/>
      <c r="O23" s="944"/>
      <c r="P23" s="944"/>
      <c r="Q23" s="944"/>
      <c r="R23" s="944"/>
      <c r="S23" s="944"/>
      <c r="T23" s="944"/>
      <c r="U23" s="944"/>
      <c r="V23" s="944"/>
      <c r="W23" s="944"/>
      <c r="X23" s="944"/>
      <c r="Y23" s="944"/>
      <c r="Z23" s="944"/>
      <c r="AA23" s="944"/>
      <c r="AB23" s="944"/>
      <c r="AC23" s="944"/>
      <c r="AD23" s="944"/>
      <c r="AE23" s="944"/>
      <c r="AF23" s="944"/>
      <c r="AG23" s="944"/>
      <c r="AH23" s="944"/>
      <c r="AI23" s="944"/>
      <c r="AJ23" s="944"/>
      <c r="AK23" s="944"/>
      <c r="AL23" s="944"/>
      <c r="AM23" s="944"/>
      <c r="AN23" s="944"/>
      <c r="AO23" s="944"/>
      <c r="AP23" s="944"/>
    </row>
    <row r="24" ht="6" customHeight="1"/>
    <row r="25" spans="8:31" ht="20.25">
      <c r="H25" s="7" t="s">
        <v>41</v>
      </c>
      <c r="I25" s="7"/>
      <c r="J25" s="30" t="str">
        <f>IF(AF10="","",IF(AF$10=1,A$10,IF(AF$13=1,A$13,IF(AF$16=1,A$16,))))</f>
        <v>TSV LoLa</v>
      </c>
      <c r="K25" s="7"/>
      <c r="L25" s="7"/>
      <c r="M25" s="7"/>
      <c r="Z25" s="250">
        <f>IF(AF$10=1,AC$12,IF(AF$13=1,AC$15,IF(AF$16=1,AC$18,)))</f>
        <v>4</v>
      </c>
      <c r="AA25" s="250" t="s">
        <v>7</v>
      </c>
      <c r="AB25" s="250">
        <f>IF(AF$10=1,AE$12,IF(AF$13=1,AE$15,IF(AF$16=1,AE$18,)))</f>
        <v>0</v>
      </c>
      <c r="AC25" s="30"/>
      <c r="AD25" s="30"/>
      <c r="AE25" s="30"/>
    </row>
    <row r="26" spans="8:31" ht="20.25">
      <c r="H26" s="7" t="s">
        <v>42</v>
      </c>
      <c r="I26" s="7"/>
      <c r="J26" s="30" t="str">
        <f>IF(AF10="","",IF(AF$10=2,A$10,IF(AF$13=2,A$13,IF(AF$16=2,A$16,))))</f>
        <v>Güstrower SC 09</v>
      </c>
      <c r="K26" s="7"/>
      <c r="L26" s="7"/>
      <c r="M26" s="7"/>
      <c r="Z26" s="250">
        <f>IF(AF$10=2,AC$12,IF(AF$13=2,AC$15,IF(AF$16=2,AC$18,)))</f>
        <v>2</v>
      </c>
      <c r="AA26" s="250" t="s">
        <v>7</v>
      </c>
      <c r="AB26" s="250">
        <f>IF(AF$10=2,AE$12,IF(AF$13=2,AE$15,IF(AF$16=2,AE$18,)))</f>
        <v>2</v>
      </c>
      <c r="AC26" s="30"/>
      <c r="AD26" s="30"/>
      <c r="AE26" s="30"/>
    </row>
    <row r="27" spans="8:31" ht="20.25">
      <c r="H27" s="7" t="s">
        <v>43</v>
      </c>
      <c r="I27" s="7"/>
      <c r="J27" s="30" t="str">
        <f>IF(AF10="","",IF(AF$10=3,A$10,IF(AF$13=3,A$13,IF(AF$16=3,A$16,))))</f>
        <v>SG Stern Kaulsdorf</v>
      </c>
      <c r="K27" s="7"/>
      <c r="L27" s="7"/>
      <c r="M27" s="7"/>
      <c r="Z27" s="250">
        <f>IF(AF$10=3,AC$12,IF(AF$13=3,AC$15,IF(AF$16=3,AC$18,)))</f>
        <v>0</v>
      </c>
      <c r="AA27" s="250" t="s">
        <v>7</v>
      </c>
      <c r="AB27" s="250">
        <f>IF(AF$10=3,AE$12,IF(AF$13=3,AE$15,IF(AF$16=3,AE$18,)))</f>
        <v>4</v>
      </c>
      <c r="AC27" s="30"/>
      <c r="AD27" s="30"/>
      <c r="AE27" s="30"/>
    </row>
    <row r="28" spans="8:31" ht="20.25">
      <c r="H28" s="7"/>
      <c r="I28" s="7"/>
      <c r="J28" s="30"/>
      <c r="K28" s="7"/>
      <c r="L28" s="7"/>
      <c r="M28" s="7"/>
      <c r="Z28" s="250"/>
      <c r="AA28" s="250"/>
      <c r="AB28" s="250"/>
      <c r="AC28" s="30"/>
      <c r="AD28" s="30"/>
      <c r="AE28" s="30"/>
    </row>
    <row r="29" spans="8:31" ht="20.25">
      <c r="H29" s="7"/>
      <c r="I29" s="7"/>
      <c r="J29" s="30"/>
      <c r="K29" s="7"/>
      <c r="L29" s="7"/>
      <c r="M29" s="7"/>
      <c r="Z29" s="250"/>
      <c r="AA29" s="250"/>
      <c r="AB29" s="250"/>
      <c r="AC29" s="30"/>
      <c r="AD29" s="30"/>
      <c r="AE29" s="30"/>
    </row>
    <row r="30" spans="10:13" ht="20.25">
      <c r="J30" s="10"/>
      <c r="K30" s="10"/>
      <c r="L30" s="10"/>
      <c r="M30" s="10"/>
    </row>
  </sheetData>
  <sheetProtection selectLockedCells="1"/>
  <mergeCells count="34">
    <mergeCell ref="B7:G9"/>
    <mergeCell ref="A5:P5"/>
    <mergeCell ref="B1:AE1"/>
    <mergeCell ref="B3:AE3"/>
    <mergeCell ref="E4:K4"/>
    <mergeCell ref="X4:AB4"/>
    <mergeCell ref="Q4:V4"/>
    <mergeCell ref="A23:AP23"/>
    <mergeCell ref="Z8:AB8"/>
    <mergeCell ref="AC9:AE9"/>
    <mergeCell ref="AF7:AH9"/>
    <mergeCell ref="AF10:AH12"/>
    <mergeCell ref="AF13:AH15"/>
    <mergeCell ref="A16:A18"/>
    <mergeCell ref="N16:S18"/>
    <mergeCell ref="A13:A15"/>
    <mergeCell ref="H13:M15"/>
    <mergeCell ref="B11:D11"/>
    <mergeCell ref="E11:G11"/>
    <mergeCell ref="B12:D12"/>
    <mergeCell ref="A10:A12"/>
    <mergeCell ref="B10:D10"/>
    <mergeCell ref="E10:G10"/>
    <mergeCell ref="E12:G12"/>
    <mergeCell ref="AF20:AH20"/>
    <mergeCell ref="T5:AP5"/>
    <mergeCell ref="H7:M9"/>
    <mergeCell ref="H6:M6"/>
    <mergeCell ref="N7:S9"/>
    <mergeCell ref="T7:Y9"/>
    <mergeCell ref="T6:Y6"/>
    <mergeCell ref="N6:S6"/>
    <mergeCell ref="AF16:AH18"/>
    <mergeCell ref="Z7:AB7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34"/>
  <sheetViews>
    <sheetView zoomScalePageLayoutView="0" workbookViewId="0" topLeftCell="A16">
      <selection activeCell="AP23" sqref="AP23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8" width="8.7109375" style="11" hidden="1" customWidth="1"/>
    <col min="39" max="39" width="12.7109375" style="526" hidden="1" customWidth="1"/>
    <col min="40" max="40" width="8.7109375" style="11" hidden="1" customWidth="1"/>
    <col min="41" max="41" width="16.421875" style="526" hidden="1" customWidth="1"/>
    <col min="42" max="42" width="9.140625" style="0" customWidth="1"/>
  </cols>
  <sheetData>
    <row r="1" spans="3:41" ht="30" customHeight="1">
      <c r="C1" s="709" t="s">
        <v>112</v>
      </c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709"/>
      <c r="AH1" s="709"/>
      <c r="AI1" s="32"/>
      <c r="AJ1" s="32"/>
      <c r="AK1" s="32"/>
      <c r="AL1" s="69"/>
      <c r="AM1" s="525"/>
      <c r="AN1" s="69"/>
      <c r="AO1" s="525"/>
    </row>
    <row r="2" ht="8.25" customHeight="1"/>
    <row r="3" spans="3:41" ht="28.5" customHeight="1">
      <c r="C3" s="944" t="str">
        <f>Mannschaften!D2</f>
        <v>Ostdeutsche Meisterschaft der männl. Jugend 14 Halle 13/14</v>
      </c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4"/>
      <c r="AH3" s="944"/>
      <c r="AI3" s="41"/>
      <c r="AJ3" s="41"/>
      <c r="AK3" s="41"/>
      <c r="AL3" s="70"/>
      <c r="AM3" s="527"/>
      <c r="AN3" s="70"/>
      <c r="AO3" s="527"/>
    </row>
    <row r="4" spans="2:42" ht="18.75" customHeight="1">
      <c r="B4" s="28"/>
      <c r="C4" s="28"/>
      <c r="D4" s="964" t="str">
        <f>Mannschaften!F4</f>
        <v>Berlin</v>
      </c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28"/>
      <c r="P4" s="28"/>
      <c r="Q4" s="28"/>
      <c r="R4" s="28"/>
      <c r="S4" s="28"/>
      <c r="T4" s="1046">
        <f>Mannschaften!M4</f>
        <v>41693</v>
      </c>
      <c r="U4" s="1046"/>
      <c r="V4" s="1046"/>
      <c r="W4" s="1046"/>
      <c r="X4" s="1046"/>
      <c r="Y4" s="1046"/>
      <c r="Z4" s="1046"/>
      <c r="AA4" s="28"/>
      <c r="AB4" s="1047"/>
      <c r="AC4" s="1047"/>
      <c r="AD4" s="1047"/>
      <c r="AE4" s="1047"/>
      <c r="AF4" s="1047"/>
      <c r="AG4" s="1047"/>
      <c r="AH4" s="1047"/>
      <c r="AI4" s="43"/>
      <c r="AJ4" s="43"/>
      <c r="AK4" s="43"/>
      <c r="AL4" s="71"/>
      <c r="AM4" s="528"/>
      <c r="AN4" s="71"/>
      <c r="AO4" s="528"/>
      <c r="AP4" s="28"/>
    </row>
    <row r="5" spans="1:42" ht="23.25" customHeight="1">
      <c r="A5" s="983" t="str">
        <f>'[3]Mannschaften'!A5</f>
        <v>Ausrichter:     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37"/>
      <c r="R5" s="37"/>
      <c r="S5" s="37"/>
      <c r="T5" s="986" t="str">
        <f>Mannschaften!I5</f>
        <v>Berliner Turnerschaft</v>
      </c>
      <c r="U5" s="986"/>
      <c r="V5" s="986"/>
      <c r="W5" s="986"/>
      <c r="X5" s="986"/>
      <c r="Y5" s="986"/>
      <c r="Z5" s="986"/>
      <c r="AA5" s="986"/>
      <c r="AB5" s="986"/>
      <c r="AC5" s="986"/>
      <c r="AD5" s="986"/>
      <c r="AE5" s="986"/>
      <c r="AF5" s="986"/>
      <c r="AG5" s="986"/>
      <c r="AH5" s="986"/>
      <c r="AI5" s="986"/>
      <c r="AJ5" s="986"/>
      <c r="AK5" s="986"/>
      <c r="AL5" s="986"/>
      <c r="AM5" s="986"/>
      <c r="AN5" s="986"/>
      <c r="AO5" s="986"/>
      <c r="AP5" s="986"/>
    </row>
    <row r="6" spans="8:25" ht="25.5" customHeight="1" thickBot="1">
      <c r="H6" s="984"/>
      <c r="I6" s="984"/>
      <c r="J6" s="984"/>
      <c r="K6" s="984"/>
      <c r="L6" s="984"/>
      <c r="M6" s="984"/>
      <c r="N6" s="984" t="s">
        <v>400</v>
      </c>
      <c r="O6" s="984"/>
      <c r="P6" s="984"/>
      <c r="Q6" s="984"/>
      <c r="R6" s="984"/>
      <c r="S6" s="984"/>
      <c r="T6" s="1048" t="s">
        <v>401</v>
      </c>
      <c r="U6" s="1048"/>
      <c r="V6" s="1048"/>
      <c r="W6" s="1048"/>
      <c r="X6" s="1048"/>
      <c r="Y6" s="1048"/>
    </row>
    <row r="7" spans="1:42" ht="16.5" customHeight="1" thickTop="1">
      <c r="A7" s="6" t="s">
        <v>27</v>
      </c>
      <c r="B7" s="958" t="str">
        <f>'Spielplan-So'!E12</f>
        <v>Großenasper SV</v>
      </c>
      <c r="C7" s="959"/>
      <c r="D7" s="959"/>
      <c r="E7" s="959"/>
      <c r="F7" s="959"/>
      <c r="G7" s="960"/>
      <c r="H7" s="958" t="str">
        <f>IF('Spielplan-So'!AK18="","",IF('Spielplan-So'!AK18=2,'Spielplan-So'!G18,'Spielplan-So'!E18))</f>
        <v>Güstrower SC 09</v>
      </c>
      <c r="I7" s="959"/>
      <c r="J7" s="959"/>
      <c r="K7" s="959"/>
      <c r="L7" s="959"/>
      <c r="M7" s="960"/>
      <c r="N7" s="958" t="str">
        <f>IF('Spielplan-So'!AK20="","",IF('Spielplan-So'!AK20=2,'Spielplan-So'!G20,'Spielplan-So'!E20))</f>
        <v>Großenasper SV</v>
      </c>
      <c r="O7" s="959"/>
      <c r="P7" s="959"/>
      <c r="Q7" s="959"/>
      <c r="R7" s="959"/>
      <c r="S7" s="960"/>
      <c r="T7" s="51"/>
      <c r="U7" s="4"/>
      <c r="V7" s="4"/>
      <c r="W7" s="4"/>
      <c r="X7" s="4"/>
      <c r="Y7" s="4"/>
      <c r="AF7" s="966" t="s">
        <v>36</v>
      </c>
      <c r="AG7" s="967"/>
      <c r="AH7" s="968"/>
      <c r="AI7" s="49"/>
      <c r="AJ7" s="50"/>
      <c r="AK7" s="44"/>
      <c r="AL7" s="72"/>
      <c r="AM7" s="529"/>
      <c r="AN7" s="72"/>
      <c r="AO7" s="529"/>
      <c r="AP7" s="1049" t="s">
        <v>37</v>
      </c>
    </row>
    <row r="8" spans="1:42" ht="16.5" customHeight="1">
      <c r="A8" s="40"/>
      <c r="B8" s="961"/>
      <c r="C8" s="962"/>
      <c r="D8" s="962"/>
      <c r="E8" s="962"/>
      <c r="F8" s="962"/>
      <c r="G8" s="963"/>
      <c r="H8" s="961"/>
      <c r="I8" s="962"/>
      <c r="J8" s="962"/>
      <c r="K8" s="962"/>
      <c r="L8" s="962"/>
      <c r="M8" s="963"/>
      <c r="N8" s="961"/>
      <c r="O8" s="962"/>
      <c r="P8" s="962"/>
      <c r="Q8" s="962"/>
      <c r="R8" s="962"/>
      <c r="S8" s="963"/>
      <c r="AF8" s="969" t="s">
        <v>123</v>
      </c>
      <c r="AG8" s="970"/>
      <c r="AH8" s="971"/>
      <c r="AI8" s="51"/>
      <c r="AJ8" s="4"/>
      <c r="AK8" s="52"/>
      <c r="AL8" s="73" t="s">
        <v>142</v>
      </c>
      <c r="AM8" s="530" t="s">
        <v>119</v>
      </c>
      <c r="AN8" s="73" t="s">
        <v>119</v>
      </c>
      <c r="AO8" s="530" t="s">
        <v>37</v>
      </c>
      <c r="AP8" s="1050"/>
    </row>
    <row r="9" spans="1:42" ht="16.5" customHeight="1" thickBot="1">
      <c r="A9" s="40"/>
      <c r="B9" s="961"/>
      <c r="C9" s="962"/>
      <c r="D9" s="962"/>
      <c r="E9" s="962"/>
      <c r="F9" s="962"/>
      <c r="G9" s="963"/>
      <c r="H9" s="961"/>
      <c r="I9" s="962"/>
      <c r="J9" s="962"/>
      <c r="K9" s="962"/>
      <c r="L9" s="962"/>
      <c r="M9" s="963"/>
      <c r="N9" s="961"/>
      <c r="O9" s="962"/>
      <c r="P9" s="962"/>
      <c r="Q9" s="962"/>
      <c r="R9" s="962"/>
      <c r="S9" s="963"/>
      <c r="AF9" s="51"/>
      <c r="AG9" s="4"/>
      <c r="AH9" s="52"/>
      <c r="AI9" s="972" t="s">
        <v>35</v>
      </c>
      <c r="AJ9" s="973"/>
      <c r="AK9" s="974"/>
      <c r="AL9" s="73" t="s">
        <v>143</v>
      </c>
      <c r="AM9" s="530" t="s">
        <v>144</v>
      </c>
      <c r="AN9" s="73" t="s">
        <v>143</v>
      </c>
      <c r="AO9" s="530" t="s">
        <v>145</v>
      </c>
      <c r="AP9" s="1050"/>
    </row>
    <row r="10" spans="1:42" ht="16.5" customHeight="1" thickTop="1">
      <c r="A10" s="945" t="str">
        <f>B7</f>
        <v>Großenasper SV</v>
      </c>
      <c r="B10" s="985" t="s">
        <v>129</v>
      </c>
      <c r="C10" s="980"/>
      <c r="D10" s="980"/>
      <c r="E10" s="980" t="s">
        <v>36</v>
      </c>
      <c r="F10" s="980"/>
      <c r="G10" s="981"/>
      <c r="H10" s="74">
        <f>'Spielplan-So'!J22</f>
        <v>0</v>
      </c>
      <c r="I10" s="75" t="s">
        <v>7</v>
      </c>
      <c r="J10" s="76">
        <f>'Spielplan-So'!L22</f>
        <v>0</v>
      </c>
      <c r="K10" s="692">
        <f>IF('Spielplan-So'!AE22="",0,'Spielplan-So'!AE22)</f>
        <v>0</v>
      </c>
      <c r="L10" s="75" t="s">
        <v>7</v>
      </c>
      <c r="M10" s="692">
        <f>IF('Spielplan-So'!$AG22="",0,'Spielplan-So'!$AG22)</f>
        <v>0</v>
      </c>
      <c r="N10" s="79">
        <f>'Spielplan-So'!J26</f>
        <v>15</v>
      </c>
      <c r="O10" s="75" t="s">
        <v>7</v>
      </c>
      <c r="P10" s="76">
        <f>'Spielplan-So'!L26</f>
        <v>13</v>
      </c>
      <c r="Q10" s="692">
        <f>IF('Spielplan-So'!$AE26="",0,'Spielplan-So'!$AE26)</f>
        <v>33</v>
      </c>
      <c r="R10" s="75" t="s">
        <v>7</v>
      </c>
      <c r="S10" s="694">
        <f>IF('Spielplan-So'!$AG26="",0,'Spielplan-So'!$AG26)</f>
        <v>37</v>
      </c>
      <c r="AF10" s="59">
        <f>IF(K10="",0,+K10+IF(Q10="",0,+Q10+IF(W10="",0,+W10+IF(AC10="",0,+AC10))))</f>
        <v>33</v>
      </c>
      <c r="AG10" s="60" t="s">
        <v>7</v>
      </c>
      <c r="AH10" s="61">
        <f>IF(M10="",0,+M10+IF(S10="",0,+S10+IF(Y10="",0,+Y10+IF(AE10="",0,+AE10))))</f>
        <v>37</v>
      </c>
      <c r="AI10" s="53"/>
      <c r="AJ10" s="54"/>
      <c r="AK10" s="45"/>
      <c r="AL10" s="45">
        <f>AF10-AH10</f>
        <v>-4</v>
      </c>
      <c r="AM10" s="531"/>
      <c r="AN10" s="45"/>
      <c r="AO10" s="531"/>
      <c r="AP10" s="1051">
        <f>IF(AI12=4,5,IF(AI12=2,6,7))</f>
        <v>7</v>
      </c>
    </row>
    <row r="11" spans="1:42" ht="16.5" customHeight="1">
      <c r="A11" s="946"/>
      <c r="B11" s="977" t="s">
        <v>121</v>
      </c>
      <c r="C11" s="978"/>
      <c r="D11" s="978"/>
      <c r="E11" s="978" t="s">
        <v>123</v>
      </c>
      <c r="F11" s="978"/>
      <c r="G11" s="982"/>
      <c r="H11" s="80">
        <f>'Spielplan-So'!M22</f>
        <v>0</v>
      </c>
      <c r="I11" s="81" t="s">
        <v>7</v>
      </c>
      <c r="J11" s="82">
        <f>'Spielplan-So'!O22</f>
        <v>0</v>
      </c>
      <c r="K11" s="693">
        <f>IF('Spielplan-So'!AH22="",0,'Spielplan-So'!AH22)</f>
        <v>0</v>
      </c>
      <c r="L11" s="81" t="s">
        <v>7</v>
      </c>
      <c r="M11" s="693">
        <f>IF('Spielplan-So'!AJ22="",0,'Spielplan-So'!AJ22)</f>
        <v>0</v>
      </c>
      <c r="N11" s="80">
        <f>'Spielplan-So'!M26</f>
        <v>7</v>
      </c>
      <c r="O11" s="81" t="s">
        <v>7</v>
      </c>
      <c r="P11" s="82">
        <f>'Spielplan-So'!O26</f>
        <v>11</v>
      </c>
      <c r="Q11" s="693">
        <f>IF('Spielplan-So'!$AH26="",0,'Spielplan-So'!$AH26)</f>
        <v>1</v>
      </c>
      <c r="R11" s="81" t="s">
        <v>7</v>
      </c>
      <c r="S11" s="695">
        <f>IF('Spielplan-So'!AJ26="",0,'Spielplan-So'!AJ26)</f>
        <v>2</v>
      </c>
      <c r="AF11" s="62">
        <f>IF(K11="",0,+K11+IF(Q11="",0,+Q11+IF(W11="",0,+W11+IF(AC11="",0,+AC11))))</f>
        <v>1</v>
      </c>
      <c r="AG11" s="63" t="s">
        <v>7</v>
      </c>
      <c r="AH11" s="64">
        <f>IF(M11="",0,+M11+IF(S11="",0,+S11+IF(Y11="",0,+Y11+IF(AE11="",0,+AE11))))</f>
        <v>2</v>
      </c>
      <c r="AI11" s="51"/>
      <c r="AJ11" s="4"/>
      <c r="AK11" s="52"/>
      <c r="AL11" s="46"/>
      <c r="AM11" s="532">
        <f>IF(AF11&gt;AH11,IF(AH11=0,9000,AF11/AH11*1000),IF(AF11=0,-9000,AH11/AF11*-1000))</f>
        <v>-2000</v>
      </c>
      <c r="AN11" s="46">
        <f>(AF11-AH11)*10000</f>
        <v>-10000</v>
      </c>
      <c r="AO11" s="532">
        <f>AI12*100000+AN11+AM11+AL10</f>
        <v>-12004</v>
      </c>
      <c r="AP11" s="1052"/>
    </row>
    <row r="12" spans="1:42" ht="16.5" customHeight="1" thickBot="1">
      <c r="A12" s="947"/>
      <c r="B12" s="975" t="s">
        <v>122</v>
      </c>
      <c r="C12" s="976"/>
      <c r="D12" s="976"/>
      <c r="E12" s="976" t="s">
        <v>35</v>
      </c>
      <c r="F12" s="976"/>
      <c r="G12" s="979"/>
      <c r="H12" s="672">
        <f>'Spielplan-So'!P22</f>
        <v>0</v>
      </c>
      <c r="I12" s="86" t="s">
        <v>7</v>
      </c>
      <c r="J12" s="87">
        <f>'Spielplan-So'!R22</f>
        <v>0</v>
      </c>
      <c r="K12" s="693">
        <f>IF('Spielplan-So'!AK22="",0,'Spielplan-So'!AK22)</f>
        <v>0</v>
      </c>
      <c r="L12" s="86" t="s">
        <v>7</v>
      </c>
      <c r="M12" s="693">
        <f>IF('Spielplan-So'!AM22="",0,'Spielplan-So'!AM22)</f>
        <v>0</v>
      </c>
      <c r="N12" s="85">
        <f>'Spielplan-So'!P26</f>
        <v>11</v>
      </c>
      <c r="O12" s="86" t="s">
        <v>7</v>
      </c>
      <c r="P12" s="87">
        <f>'Spielplan-So'!R26</f>
        <v>13</v>
      </c>
      <c r="Q12" s="693">
        <f>IF('Spielplan-So'!$AK26="",0,'Spielplan-So'!$AK26)</f>
        <v>0</v>
      </c>
      <c r="R12" s="86" t="s">
        <v>7</v>
      </c>
      <c r="S12" s="696">
        <f>IF('Spielplan-So'!AM26="",0,'Spielplan-So'!AM26)</f>
        <v>2</v>
      </c>
      <c r="AF12" s="659"/>
      <c r="AG12" s="660"/>
      <c r="AH12" s="661"/>
      <c r="AI12" s="93">
        <f>K12+Q12+W12+AC12</f>
        <v>0</v>
      </c>
      <c r="AJ12" s="42" t="s">
        <v>7</v>
      </c>
      <c r="AK12" s="94">
        <f>M12+S12+Y12+AE12</f>
        <v>2</v>
      </c>
      <c r="AL12" s="47"/>
      <c r="AM12" s="533"/>
      <c r="AN12" s="47"/>
      <c r="AO12" s="533"/>
      <c r="AP12" s="1053"/>
    </row>
    <row r="13" spans="1:42" ht="16.5" customHeight="1" thickTop="1">
      <c r="A13" s="945" t="s">
        <v>407</v>
      </c>
      <c r="B13" s="79">
        <f>J10</f>
        <v>0</v>
      </c>
      <c r="C13" s="75" t="s">
        <v>7</v>
      </c>
      <c r="D13" s="90">
        <f>H10</f>
        <v>0</v>
      </c>
      <c r="E13" s="77">
        <f>M10</f>
        <v>0</v>
      </c>
      <c r="F13" s="75" t="s">
        <v>7</v>
      </c>
      <c r="G13" s="78">
        <f>K10</f>
        <v>0</v>
      </c>
      <c r="H13" s="948"/>
      <c r="I13" s="949"/>
      <c r="J13" s="949"/>
      <c r="K13" s="949"/>
      <c r="L13" s="949"/>
      <c r="M13" s="950"/>
      <c r="N13" s="79">
        <f>'Spielplan-So'!J30</f>
        <v>0</v>
      </c>
      <c r="O13" s="75" t="s">
        <v>7</v>
      </c>
      <c r="P13" s="76">
        <f>'Spielplan-So'!L30</f>
        <v>0</v>
      </c>
      <c r="Q13" s="692">
        <f>IF('Spielplan-So'!$AE30="",0,'Spielplan-So'!$AE30)</f>
        <v>0</v>
      </c>
      <c r="R13" s="75" t="s">
        <v>7</v>
      </c>
      <c r="S13" s="694">
        <f>IF('Spielplan-So'!$AG30="",0,'Spielplan-So'!$AG30)</f>
        <v>0</v>
      </c>
      <c r="AF13" s="59">
        <f>IF(E13="",0,+E13+IF(Q13="",0,+Q13+IF(W13="",0,+W13+IF(AC13="",0,+AC13))))</f>
        <v>0</v>
      </c>
      <c r="AG13" s="66" t="s">
        <v>7</v>
      </c>
      <c r="AH13" s="61">
        <f>IF(G13="",0,+G13+IF(S13="",0,+S13+IF(Y13="",0,+Y13+IF(AE13="",0,+AE13))))</f>
        <v>0</v>
      </c>
      <c r="AI13" s="53"/>
      <c r="AJ13" s="54"/>
      <c r="AK13" s="45"/>
      <c r="AL13" s="45">
        <f>AF13-AH13</f>
        <v>0</v>
      </c>
      <c r="AM13" s="531"/>
      <c r="AN13" s="45"/>
      <c r="AO13" s="531"/>
      <c r="AP13" s="1051">
        <f>IF(AI15=4,5,IF(AI15=2,6,7))</f>
        <v>7</v>
      </c>
    </row>
    <row r="14" spans="1:42" ht="16.5" customHeight="1">
      <c r="A14" s="946"/>
      <c r="B14" s="80">
        <f>J11</f>
        <v>0</v>
      </c>
      <c r="C14" s="81" t="s">
        <v>7</v>
      </c>
      <c r="D14" s="91">
        <f>H11</f>
        <v>0</v>
      </c>
      <c r="E14" s="83">
        <f>M11</f>
        <v>0</v>
      </c>
      <c r="F14" s="81" t="s">
        <v>7</v>
      </c>
      <c r="G14" s="84">
        <f>K11</f>
        <v>0</v>
      </c>
      <c r="H14" s="951"/>
      <c r="I14" s="952"/>
      <c r="J14" s="952"/>
      <c r="K14" s="952"/>
      <c r="L14" s="952"/>
      <c r="M14" s="953"/>
      <c r="N14" s="80">
        <f>'Spielplan-So'!M30</f>
        <v>0</v>
      </c>
      <c r="O14" s="81" t="s">
        <v>7</v>
      </c>
      <c r="P14" s="82">
        <f>'Spielplan-So'!O30</f>
        <v>0</v>
      </c>
      <c r="Q14" s="693">
        <f>IF('Spielplan-So'!$AH30="",0,'Spielplan-So'!$AH30)</f>
        <v>0</v>
      </c>
      <c r="R14" s="81" t="s">
        <v>7</v>
      </c>
      <c r="S14" s="695">
        <f>IF('Spielplan-So'!AJ30="",0,'Spielplan-So'!AJ30)</f>
        <v>0</v>
      </c>
      <c r="AF14" s="62">
        <f>IF(E14="",0,+E14+IF(Q14="",0,+Q14+IF(W14="",0,+W14+IF(AC14="",0,+AC14))))</f>
        <v>0</v>
      </c>
      <c r="AG14" s="67" t="s">
        <v>7</v>
      </c>
      <c r="AH14" s="64">
        <f>IF(G14="",0,+G14+IF(S14="",0,+S14+IF(Y14="",0,+Y14+IF(AE14="",0,+AE14))))</f>
        <v>0</v>
      </c>
      <c r="AI14" s="51"/>
      <c r="AJ14" s="4"/>
      <c r="AK14" s="52"/>
      <c r="AL14" s="46"/>
      <c r="AM14" s="532">
        <f>IF(AF14&gt;AH14,IF(AH14=0,9000,AF14/AH14*1000),IF(AF14=0,-9000,AH14/AF14*-1000))</f>
        <v>-9000</v>
      </c>
      <c r="AN14" s="46">
        <f>(AF14-AH14)*10000</f>
        <v>0</v>
      </c>
      <c r="AO14" s="532">
        <f>AI15*100000+AN14+AM14+AL13</f>
        <v>-9000</v>
      </c>
      <c r="AP14" s="1052"/>
    </row>
    <row r="15" spans="1:42" ht="16.5" customHeight="1" thickBot="1">
      <c r="A15" s="947"/>
      <c r="B15" s="85">
        <f>J12</f>
        <v>0</v>
      </c>
      <c r="C15" s="86" t="s">
        <v>7</v>
      </c>
      <c r="D15" s="92">
        <f>H12</f>
        <v>0</v>
      </c>
      <c r="E15" s="88">
        <f>M12</f>
        <v>0</v>
      </c>
      <c r="F15" s="86" t="s">
        <v>7</v>
      </c>
      <c r="G15" s="89">
        <f>K12</f>
        <v>0</v>
      </c>
      <c r="H15" s="954"/>
      <c r="I15" s="955"/>
      <c r="J15" s="955"/>
      <c r="K15" s="955"/>
      <c r="L15" s="955"/>
      <c r="M15" s="956"/>
      <c r="N15" s="85">
        <f>'Spielplan-So'!P30</f>
        <v>0</v>
      </c>
      <c r="O15" s="86" t="s">
        <v>7</v>
      </c>
      <c r="P15" s="87">
        <f>'Spielplan-So'!R30</f>
        <v>0</v>
      </c>
      <c r="Q15" s="693">
        <f>IF('Spielplan-So'!$AK30="",0,'Spielplan-So'!$AK30)</f>
        <v>0</v>
      </c>
      <c r="R15" s="86" t="s">
        <v>7</v>
      </c>
      <c r="S15" s="696">
        <f>IF('Spielplan-So'!AM30="",0,'Spielplan-So'!AM30)</f>
        <v>0</v>
      </c>
      <c r="AF15" s="659"/>
      <c r="AG15" s="660"/>
      <c r="AH15" s="661"/>
      <c r="AI15" s="93">
        <f>E15+Q15+W15+AC15</f>
        <v>0</v>
      </c>
      <c r="AJ15" s="42" t="s">
        <v>7</v>
      </c>
      <c r="AK15" s="94">
        <f>G15+S15+Y15+AE15</f>
        <v>0</v>
      </c>
      <c r="AL15" s="48"/>
      <c r="AM15" s="534"/>
      <c r="AN15" s="48"/>
      <c r="AO15" s="534"/>
      <c r="AP15" s="1053"/>
    </row>
    <row r="16" spans="1:42" ht="16.5" customHeight="1" thickTop="1">
      <c r="A16" s="945" t="s">
        <v>407</v>
      </c>
      <c r="B16" s="79">
        <f>P10</f>
        <v>13</v>
      </c>
      <c r="C16" s="75" t="s">
        <v>7</v>
      </c>
      <c r="D16" s="76">
        <f>N10</f>
        <v>15</v>
      </c>
      <c r="E16" s="77">
        <f>S10</f>
        <v>37</v>
      </c>
      <c r="F16" s="75" t="s">
        <v>7</v>
      </c>
      <c r="G16" s="78">
        <f>Q10</f>
        <v>33</v>
      </c>
      <c r="H16" s="79">
        <f>P13</f>
        <v>0</v>
      </c>
      <c r="I16" s="75" t="s">
        <v>7</v>
      </c>
      <c r="J16" s="76">
        <f>N13</f>
        <v>0</v>
      </c>
      <c r="K16" s="77">
        <f>S13</f>
        <v>0</v>
      </c>
      <c r="L16" s="75" t="s">
        <v>7</v>
      </c>
      <c r="M16" s="78">
        <f>Q13</f>
        <v>0</v>
      </c>
      <c r="N16" s="948"/>
      <c r="O16" s="949"/>
      <c r="P16" s="949"/>
      <c r="Q16" s="949"/>
      <c r="R16" s="949"/>
      <c r="S16" s="950"/>
      <c r="AF16" s="59">
        <f>IF(E16="",0,+E16+IF(K16="",0,+K16+IF(W16="",0,+W16+IF(AC16="",0,+AC16))))</f>
        <v>37</v>
      </c>
      <c r="AG16" s="66" t="s">
        <v>7</v>
      </c>
      <c r="AH16" s="61">
        <f>IF(G16="",0,+G16+IF(M16="",0,+M16+IF(Y16="",0,+Y16+IF(AE16="",0,+AE16))))</f>
        <v>33</v>
      </c>
      <c r="AI16" s="53"/>
      <c r="AJ16" s="54"/>
      <c r="AK16" s="45"/>
      <c r="AL16" s="45">
        <f>AF16-AH16</f>
        <v>4</v>
      </c>
      <c r="AM16" s="531"/>
      <c r="AN16" s="45"/>
      <c r="AO16" s="531"/>
      <c r="AP16" s="1051">
        <f>IF(AI18=4,5,IF(AI18=2,6,7))</f>
        <v>6</v>
      </c>
    </row>
    <row r="17" spans="1:42" ht="16.5" customHeight="1">
      <c r="A17" s="946"/>
      <c r="B17" s="80">
        <f>P11</f>
        <v>11</v>
      </c>
      <c r="C17" s="81" t="s">
        <v>7</v>
      </c>
      <c r="D17" s="82">
        <f>N11</f>
        <v>7</v>
      </c>
      <c r="E17" s="83">
        <f>S11</f>
        <v>2</v>
      </c>
      <c r="F17" s="81" t="s">
        <v>7</v>
      </c>
      <c r="G17" s="84">
        <f>Q11</f>
        <v>1</v>
      </c>
      <c r="H17" s="80">
        <f>P14</f>
        <v>0</v>
      </c>
      <c r="I17" s="81" t="s">
        <v>7</v>
      </c>
      <c r="J17" s="82">
        <f>N14</f>
        <v>0</v>
      </c>
      <c r="K17" s="83">
        <f>S14</f>
        <v>0</v>
      </c>
      <c r="L17" s="81" t="s">
        <v>7</v>
      </c>
      <c r="M17" s="84">
        <f>Q14</f>
        <v>0</v>
      </c>
      <c r="N17" s="951"/>
      <c r="O17" s="952"/>
      <c r="P17" s="952"/>
      <c r="Q17" s="952"/>
      <c r="R17" s="952"/>
      <c r="S17" s="953"/>
      <c r="AF17" s="62">
        <f>IF(E17="",0,+E17+IF(K17="",0,+K17+IF(W17="",0,+W17+IF(AC17="",0,+AC17))))</f>
        <v>2</v>
      </c>
      <c r="AG17" s="67" t="s">
        <v>7</v>
      </c>
      <c r="AH17" s="64">
        <f>IF(G17="",0,+G17+IF(M17="",0,+M17+IF(Y17="",0,+Y17+IF(AE17="",0,+AE17))))</f>
        <v>1</v>
      </c>
      <c r="AI17" s="51"/>
      <c r="AJ17" s="4"/>
      <c r="AK17" s="52"/>
      <c r="AL17" s="46"/>
      <c r="AM17" s="532">
        <f>IF(AF17&gt;AH17,IF(AH17=0,9000,AF17/AH17*1000),IF(AF17=0,-9000,AH17/AF17*-1000))</f>
        <v>2000</v>
      </c>
      <c r="AN17" s="46">
        <f>(AF17-AH17)*10000</f>
        <v>10000</v>
      </c>
      <c r="AO17" s="532">
        <f>AI18*100000+AN17+AM17+AL16</f>
        <v>212004</v>
      </c>
      <c r="AP17" s="1052"/>
    </row>
    <row r="18" spans="1:42" ht="16.5" customHeight="1" thickBot="1">
      <c r="A18" s="947"/>
      <c r="B18" s="85">
        <f>P12</f>
        <v>13</v>
      </c>
      <c r="C18" s="86" t="s">
        <v>7</v>
      </c>
      <c r="D18" s="87">
        <f>N12</f>
        <v>11</v>
      </c>
      <c r="E18" s="88">
        <f>S12</f>
        <v>2</v>
      </c>
      <c r="F18" s="86" t="s">
        <v>7</v>
      </c>
      <c r="G18" s="89">
        <f>Q12</f>
        <v>0</v>
      </c>
      <c r="H18" s="85">
        <f>P15</f>
        <v>0</v>
      </c>
      <c r="I18" s="86" t="s">
        <v>7</v>
      </c>
      <c r="J18" s="87">
        <f>N15</f>
        <v>0</v>
      </c>
      <c r="K18" s="88">
        <f>S15</f>
        <v>0</v>
      </c>
      <c r="L18" s="86" t="s">
        <v>7</v>
      </c>
      <c r="M18" s="89">
        <f>Q15</f>
        <v>0</v>
      </c>
      <c r="N18" s="954"/>
      <c r="O18" s="955"/>
      <c r="P18" s="955"/>
      <c r="Q18" s="955"/>
      <c r="R18" s="955"/>
      <c r="S18" s="956"/>
      <c r="AF18" s="662"/>
      <c r="AG18" s="663"/>
      <c r="AH18" s="664"/>
      <c r="AI18" s="93">
        <f>E18+K18+W18+AC18</f>
        <v>2</v>
      </c>
      <c r="AJ18" s="42" t="s">
        <v>7</v>
      </c>
      <c r="AK18" s="94">
        <f>G18+M18+Y18+AE18</f>
        <v>0</v>
      </c>
      <c r="AL18" s="48"/>
      <c r="AM18" s="534"/>
      <c r="AN18" s="48"/>
      <c r="AO18" s="534"/>
      <c r="AP18" s="1053"/>
    </row>
    <row r="19" spans="38:41" ht="16.5" customHeight="1" thickTop="1">
      <c r="AL19"/>
      <c r="AM19"/>
      <c r="AN19"/>
      <c r="AO19"/>
    </row>
    <row r="20" spans="38:41" ht="16.5" customHeight="1">
      <c r="AL20"/>
      <c r="AM20"/>
      <c r="AN20"/>
      <c r="AO20"/>
    </row>
    <row r="21" spans="38:41" ht="16.5" customHeight="1">
      <c r="AL21"/>
      <c r="AM21"/>
      <c r="AN21"/>
      <c r="AO21"/>
    </row>
    <row r="22" spans="38:41" ht="16.5" customHeight="1">
      <c r="AL22"/>
      <c r="AM22"/>
      <c r="AN22"/>
      <c r="AO22"/>
    </row>
    <row r="23" spans="38:41" ht="16.5" customHeight="1">
      <c r="AL23"/>
      <c r="AM23"/>
      <c r="AN23"/>
      <c r="AO23"/>
    </row>
    <row r="24" spans="38:41" ht="16.5" customHeight="1">
      <c r="AL24"/>
      <c r="AM24"/>
      <c r="AN24"/>
      <c r="AO24"/>
    </row>
    <row r="25" ht="9" customHeight="1"/>
    <row r="26" spans="32:42" s="11" customFormat="1" ht="18" customHeight="1" hidden="1">
      <c r="AF26" s="12">
        <f>AF10+AF13+AF16+AF19+AF22</f>
        <v>70</v>
      </c>
      <c r="AG26" s="12"/>
      <c r="AH26" s="12">
        <f>AH10+AH13+AH16+AH19+AH22</f>
        <v>70</v>
      </c>
      <c r="AI26" s="12"/>
      <c r="AJ26" s="12"/>
      <c r="AK26" s="12"/>
      <c r="AL26" s="12"/>
      <c r="AM26" s="535"/>
      <c r="AN26" s="12"/>
      <c r="AO26" s="535"/>
      <c r="AP26" s="578">
        <f>IF(AP10="",0,AP10+AP13+AP16)</f>
        <v>20</v>
      </c>
    </row>
    <row r="27" spans="32:42" s="11" customFormat="1" ht="18" customHeight="1" hidden="1">
      <c r="AF27" s="12">
        <f>AF11+AF14+AF17+AF20+AF23</f>
        <v>3</v>
      </c>
      <c r="AG27" s="12"/>
      <c r="AH27" s="12">
        <f>AH11+AH14+AH17+AH20+AH23</f>
        <v>3</v>
      </c>
      <c r="AI27" s="12"/>
      <c r="AJ27" s="12"/>
      <c r="AK27" s="12"/>
      <c r="AL27" s="12"/>
      <c r="AM27" s="535"/>
      <c r="AN27" s="12"/>
      <c r="AO27" s="535"/>
      <c r="AP27" s="12"/>
    </row>
    <row r="28" spans="32:42" s="11" customFormat="1" ht="18" customHeight="1" hidden="1">
      <c r="AF28" s="12"/>
      <c r="AG28" s="12"/>
      <c r="AH28" s="12"/>
      <c r="AI28" s="12">
        <f>AI12+AI15+AI18+AI21+AI24</f>
        <v>2</v>
      </c>
      <c r="AJ28" s="12"/>
      <c r="AK28" s="12">
        <f>AK12+AK15+AK18+AK21+AK24</f>
        <v>2</v>
      </c>
      <c r="AL28" s="12"/>
      <c r="AM28" s="535"/>
      <c r="AN28" s="12"/>
      <c r="AO28" s="535"/>
      <c r="AP28" s="12"/>
    </row>
    <row r="29" spans="1:42" ht="23.25">
      <c r="A29" s="944" t="s">
        <v>402</v>
      </c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944"/>
      <c r="V29" s="944"/>
      <c r="W29" s="944"/>
      <c r="X29" s="944"/>
      <c r="Y29" s="944"/>
      <c r="Z29" s="944"/>
      <c r="AA29" s="944"/>
      <c r="AB29" s="944"/>
      <c r="AC29" s="944"/>
      <c r="AD29" s="944"/>
      <c r="AE29" s="944"/>
      <c r="AF29" s="944"/>
      <c r="AG29" s="944"/>
      <c r="AH29" s="944"/>
      <c r="AI29" s="944"/>
      <c r="AJ29" s="944"/>
      <c r="AK29" s="944"/>
      <c r="AL29" s="944"/>
      <c r="AM29" s="944"/>
      <c r="AN29" s="944"/>
      <c r="AO29" s="944"/>
      <c r="AP29" s="944"/>
    </row>
    <row r="30" ht="6" customHeight="1"/>
    <row r="31" spans="8:31" ht="20.25">
      <c r="H31" s="7" t="s">
        <v>387</v>
      </c>
      <c r="I31" s="7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Z31" s="250"/>
      <c r="AA31" s="250" t="s">
        <v>7</v>
      </c>
      <c r="AB31" s="250"/>
      <c r="AC31" s="30"/>
      <c r="AD31" s="30"/>
      <c r="AE31" s="30"/>
    </row>
    <row r="32" spans="8:31" ht="20.25">
      <c r="H32" s="7" t="s">
        <v>388</v>
      </c>
      <c r="I32" s="7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Z32" s="250"/>
      <c r="AA32" s="250" t="s">
        <v>7</v>
      </c>
      <c r="AB32" s="250"/>
      <c r="AC32" s="30"/>
      <c r="AD32" s="30"/>
      <c r="AE32" s="30"/>
    </row>
    <row r="33" spans="8:31" ht="20.25">
      <c r="H33" s="7" t="s">
        <v>389</v>
      </c>
      <c r="I33" s="7"/>
      <c r="J33" s="1054"/>
      <c r="K33" s="1054"/>
      <c r="L33" s="1054"/>
      <c r="M33" s="1054"/>
      <c r="N33" s="1054"/>
      <c r="O33" s="1054"/>
      <c r="P33" s="1054"/>
      <c r="Q33" s="1054"/>
      <c r="R33" s="1054"/>
      <c r="S33" s="1054"/>
      <c r="T33" s="1054"/>
      <c r="U33" s="1054"/>
      <c r="V33" s="1054"/>
      <c r="W33" s="1054"/>
      <c r="Z33" s="250"/>
      <c r="AA33" s="250" t="s">
        <v>7</v>
      </c>
      <c r="AB33" s="250"/>
      <c r="AC33" s="30"/>
      <c r="AD33" s="30"/>
      <c r="AE33" s="30"/>
    </row>
    <row r="34" spans="10:13" ht="20.25">
      <c r="J34" s="10"/>
      <c r="K34" s="10"/>
      <c r="L34" s="10"/>
      <c r="M34" s="10"/>
    </row>
  </sheetData>
  <sheetProtection/>
  <mergeCells count="35">
    <mergeCell ref="J31:W31"/>
    <mergeCell ref="J32:W32"/>
    <mergeCell ref="J33:W33"/>
    <mergeCell ref="A16:A18"/>
    <mergeCell ref="N16:S18"/>
    <mergeCell ref="B12:D12"/>
    <mergeCell ref="AP16:AP18"/>
    <mergeCell ref="A29:AP29"/>
    <mergeCell ref="E12:G12"/>
    <mergeCell ref="A13:A15"/>
    <mergeCell ref="H13:M15"/>
    <mergeCell ref="AP13:AP15"/>
    <mergeCell ref="AF7:AH7"/>
    <mergeCell ref="AP7:AP9"/>
    <mergeCell ref="AF8:AH8"/>
    <mergeCell ref="AI9:AK9"/>
    <mergeCell ref="A10:A12"/>
    <mergeCell ref="B10:D10"/>
    <mergeCell ref="E10:G10"/>
    <mergeCell ref="AP10:AP12"/>
    <mergeCell ref="B11:D11"/>
    <mergeCell ref="E11:G11"/>
    <mergeCell ref="H6:M6"/>
    <mergeCell ref="N6:S6"/>
    <mergeCell ref="T6:Y6"/>
    <mergeCell ref="B7:G9"/>
    <mergeCell ref="H7:M9"/>
    <mergeCell ref="N7:S9"/>
    <mergeCell ref="C1:AH1"/>
    <mergeCell ref="C3:AH3"/>
    <mergeCell ref="D4:N4"/>
    <mergeCell ref="T4:Z4"/>
    <mergeCell ref="AB4:AH4"/>
    <mergeCell ref="A5:P5"/>
    <mergeCell ref="T5:AP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TIMON</cp:lastModifiedBy>
  <cp:lastPrinted>2014-02-08T11:07:44Z</cp:lastPrinted>
  <dcterms:created xsi:type="dcterms:W3CDTF">2006-09-04T11:05:59Z</dcterms:created>
  <dcterms:modified xsi:type="dcterms:W3CDTF">2014-02-26T18:48:43Z</dcterms:modified>
  <cp:category/>
  <cp:version/>
  <cp:contentType/>
  <cp:contentStatus/>
</cp:coreProperties>
</file>